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D\Documents\Flap\Böcke und Gärtner\REZ Firma\F 04 Präsentationen\Vorträge\Materialien Open Access\"/>
    </mc:Choice>
  </mc:AlternateContent>
  <xr:revisionPtr revIDLastSave="0" documentId="13_ncr:1_{4FA29DDB-D6E7-40C6-B602-2525A62E95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8" sheetId="18" r:id="rId1"/>
    <sheet name="Vergütung" sheetId="20" r:id="rId2"/>
  </sheets>
  <calcPr calcId="191029"/>
</workbook>
</file>

<file path=xl/calcChain.xml><?xml version="1.0" encoding="utf-8"?>
<calcChain xmlns="http://schemas.openxmlformats.org/spreadsheetml/2006/main">
  <c r="E43" i="18" l="1"/>
  <c r="F43" i="18"/>
  <c r="G43" i="18"/>
  <c r="H43" i="18"/>
  <c r="I43" i="18"/>
  <c r="J43" i="18"/>
  <c r="K43" i="18"/>
  <c r="L43" i="18"/>
  <c r="M43" i="18"/>
  <c r="N43" i="18"/>
  <c r="O43" i="18"/>
  <c r="D43" i="18"/>
  <c r="C43" i="18"/>
  <c r="C45" i="18"/>
  <c r="C10" i="20"/>
  <c r="P40" i="18"/>
  <c r="G38" i="18"/>
  <c r="K38" i="18"/>
  <c r="L37" i="18"/>
  <c r="M37" i="18"/>
  <c r="O27" i="18"/>
  <c r="L27" i="18"/>
  <c r="I27" i="18"/>
  <c r="F27" i="18"/>
  <c r="P27" i="18" s="1"/>
  <c r="C27" i="18"/>
  <c r="P31" i="18"/>
  <c r="P35" i="18"/>
  <c r="C35" i="18"/>
  <c r="C31" i="18"/>
  <c r="C32" i="18"/>
  <c r="G32" i="18" s="1"/>
  <c r="C33" i="18"/>
  <c r="F33" i="18" s="1"/>
  <c r="C34" i="18"/>
  <c r="G34" i="18" s="1"/>
  <c r="P34" i="18" s="1"/>
  <c r="C36" i="18"/>
  <c r="K36" i="18" s="1"/>
  <c r="C37" i="18"/>
  <c r="K37" i="18" s="1"/>
  <c r="C38" i="18"/>
  <c r="L38" i="18" s="1"/>
  <c r="C41" i="18"/>
  <c r="E41" i="18" s="1"/>
  <c r="C30" i="18"/>
  <c r="L30" i="18" s="1"/>
  <c r="B42" i="18"/>
  <c r="B26" i="18"/>
  <c r="C26" i="18"/>
  <c r="F38" i="18" l="1"/>
  <c r="D38" i="18"/>
  <c r="N38" i="18"/>
  <c r="M33" i="18"/>
  <c r="L33" i="18"/>
  <c r="E33" i="18"/>
  <c r="P33" i="18" s="1"/>
  <c r="F37" i="18"/>
  <c r="E37" i="18"/>
  <c r="N37" i="18"/>
  <c r="I38" i="18"/>
  <c r="O38" i="18"/>
  <c r="J38" i="18"/>
  <c r="J37" i="18"/>
  <c r="M32" i="18"/>
  <c r="E32" i="18"/>
  <c r="I37" i="18"/>
  <c r="D37" i="18"/>
  <c r="H37" i="18"/>
  <c r="O37" i="18"/>
  <c r="G37" i="18"/>
  <c r="B49" i="18"/>
  <c r="I41" i="18"/>
  <c r="D41" i="18"/>
  <c r="H41" i="18"/>
  <c r="O41" i="18"/>
  <c r="N41" i="18"/>
  <c r="F41" i="18"/>
  <c r="L41" i="18"/>
  <c r="K41" i="18"/>
  <c r="J41" i="18"/>
  <c r="G41" i="18"/>
  <c r="M41" i="18"/>
  <c r="P39" i="18"/>
  <c r="H38" i="18"/>
  <c r="M38" i="18"/>
  <c r="E38" i="18"/>
  <c r="D36" i="18"/>
  <c r="P36" i="18" s="1"/>
  <c r="K33" i="18"/>
  <c r="J33" i="18"/>
  <c r="I33" i="18"/>
  <c r="D33" i="18"/>
  <c r="H33" i="18"/>
  <c r="O33" i="18"/>
  <c r="G33" i="18"/>
  <c r="N33" i="18"/>
  <c r="D32" i="18"/>
  <c r="H32" i="18"/>
  <c r="O32" i="18"/>
  <c r="N32" i="18"/>
  <c r="F32" i="18"/>
  <c r="L32" i="18"/>
  <c r="K32" i="18"/>
  <c r="J32" i="18"/>
  <c r="I32" i="18"/>
  <c r="J30" i="18"/>
  <c r="I30" i="18"/>
  <c r="D30" i="18"/>
  <c r="H30" i="18"/>
  <c r="K30" i="18"/>
  <c r="O30" i="18"/>
  <c r="G30" i="18"/>
  <c r="N30" i="18"/>
  <c r="F30" i="18"/>
  <c r="M30" i="18"/>
  <c r="E30" i="18"/>
  <c r="P38" i="18"/>
  <c r="C42" i="18"/>
  <c r="P32" i="18" l="1"/>
  <c r="P41" i="18"/>
  <c r="P37" i="18"/>
  <c r="L4" i="20"/>
  <c r="L5" i="20" s="1"/>
  <c r="D9" i="18" s="1"/>
  <c r="K4" i="20"/>
  <c r="K5" i="20" s="1"/>
  <c r="O9" i="18" s="1"/>
  <c r="J4" i="20"/>
  <c r="J5" i="20" s="1"/>
  <c r="N9" i="18" s="1"/>
  <c r="I4" i="20"/>
  <c r="I5" i="20" s="1"/>
  <c r="M9" i="18" s="1"/>
  <c r="H4" i="20"/>
  <c r="H5" i="20" s="1"/>
  <c r="L9" i="18" s="1"/>
  <c r="G4" i="20"/>
  <c r="G5" i="20" s="1"/>
  <c r="K9" i="18" s="1"/>
  <c r="F4" i="20"/>
  <c r="F5" i="20" s="1"/>
  <c r="J9" i="18" s="1"/>
  <c r="E4" i="20"/>
  <c r="E5" i="20" s="1"/>
  <c r="I9" i="18" s="1"/>
  <c r="D4" i="20"/>
  <c r="D5" i="20" s="1"/>
  <c r="H9" i="18" s="1"/>
  <c r="C4" i="20"/>
  <c r="C5" i="20" s="1"/>
  <c r="G9" i="18" s="1"/>
  <c r="B4" i="20"/>
  <c r="B5" i="20" s="1"/>
  <c r="F9" i="18" s="1"/>
  <c r="A4" i="20"/>
  <c r="M3" i="20"/>
  <c r="A5" i="20" l="1"/>
  <c r="E9" i="18" s="1"/>
  <c r="D16" i="18"/>
  <c r="D17" i="18" s="1"/>
  <c r="E16" i="18" l="1"/>
  <c r="E17" i="18" s="1"/>
  <c r="M5" i="20"/>
  <c r="B9" i="18" s="1"/>
  <c r="C9" i="18" l="1"/>
  <c r="C16" i="18" s="1"/>
  <c r="B16" i="18"/>
  <c r="G16" i="18"/>
  <c r="G17" i="18" s="1"/>
  <c r="B51" i="18" l="1"/>
  <c r="B53" i="18" s="1"/>
  <c r="C18" i="18"/>
  <c r="C17" i="18"/>
  <c r="C44" i="18" s="1"/>
  <c r="C46" i="18" s="1"/>
  <c r="C49" i="18" s="1"/>
  <c r="C51" i="18" s="1"/>
  <c r="C53" i="18" s="1"/>
  <c r="C58" i="18" s="1"/>
  <c r="F16" i="18"/>
  <c r="F17" i="18" s="1"/>
  <c r="P47" i="18" l="1"/>
  <c r="O42" i="18"/>
  <c r="N42" i="18"/>
  <c r="M42" i="18"/>
  <c r="L42" i="18"/>
  <c r="K42" i="18"/>
  <c r="G42" i="18"/>
  <c r="I42" i="18"/>
  <c r="F42" i="18"/>
  <c r="E42" i="18"/>
  <c r="J42" i="18"/>
  <c r="P30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P23" i="18"/>
  <c r="P22" i="18"/>
  <c r="P21" i="18"/>
  <c r="P15" i="18"/>
  <c r="P14" i="18"/>
  <c r="P13" i="18"/>
  <c r="P12" i="18"/>
  <c r="P10" i="18"/>
  <c r="J49" i="18" l="1"/>
  <c r="O49" i="18"/>
  <c r="I49" i="18"/>
  <c r="G49" i="18"/>
  <c r="G44" i="18"/>
  <c r="M49" i="18"/>
  <c r="E44" i="18"/>
  <c r="F44" i="18"/>
  <c r="F49" i="18"/>
  <c r="F51" i="18" s="1"/>
  <c r="L49" i="18"/>
  <c r="P26" i="18"/>
  <c r="D42" i="18"/>
  <c r="D49" i="18" s="1"/>
  <c r="H42" i="18"/>
  <c r="D51" i="18" l="1"/>
  <c r="P42" i="18"/>
  <c r="D44" i="18"/>
  <c r="H46" i="18" s="1"/>
  <c r="G51" i="18"/>
  <c r="H49" i="18" l="1"/>
  <c r="P43" i="18"/>
  <c r="K16" i="18"/>
  <c r="O16" i="18"/>
  <c r="N16" i="18"/>
  <c r="N17" i="18" s="1"/>
  <c r="N44" i="18" s="1"/>
  <c r="I16" i="18"/>
  <c r="H16" i="18"/>
  <c r="H17" i="18" s="1"/>
  <c r="H44" i="18" s="1"/>
  <c r="L16" i="18"/>
  <c r="J16" i="18"/>
  <c r="P9" i="18"/>
  <c r="M16" i="18"/>
  <c r="O51" i="18" l="1"/>
  <c r="O17" i="18"/>
  <c r="O44" i="18" s="1"/>
  <c r="M51" i="18"/>
  <c r="M17" i="18"/>
  <c r="M44" i="18" s="1"/>
  <c r="K17" i="18"/>
  <c r="K44" i="18" s="1"/>
  <c r="J51" i="18"/>
  <c r="J17" i="18"/>
  <c r="J44" i="18" s="1"/>
  <c r="L51" i="18"/>
  <c r="L17" i="18"/>
  <c r="L44" i="18" s="1"/>
  <c r="I51" i="18"/>
  <c r="I17" i="18"/>
  <c r="I44" i="18" s="1"/>
  <c r="K46" i="18" s="1"/>
  <c r="K49" i="18" s="1"/>
  <c r="K51" i="18" s="1"/>
  <c r="H51" i="18"/>
  <c r="P16" i="18"/>
  <c r="N46" i="18" l="1"/>
  <c r="N49" i="18" s="1"/>
  <c r="N51" i="18" s="1"/>
  <c r="E46" i="18"/>
  <c r="E49" i="18" s="1"/>
  <c r="E51" i="18" s="1"/>
  <c r="P17" i="18"/>
  <c r="P44" i="18"/>
  <c r="D53" i="18"/>
  <c r="P46" i="18" l="1"/>
  <c r="P49" i="18" s="1"/>
  <c r="P51" i="18"/>
  <c r="E53" i="18"/>
  <c r="E57" i="18" s="1"/>
  <c r="D57" i="18"/>
  <c r="F53" i="18" l="1"/>
  <c r="F57" i="18" s="1"/>
  <c r="G53" i="18" l="1"/>
  <c r="G57" i="18" s="1"/>
  <c r="H53" i="18" l="1"/>
  <c r="I53" i="18" s="1"/>
  <c r="H57" i="18" l="1"/>
  <c r="J53" i="18"/>
  <c r="I57" i="18"/>
  <c r="K53" i="18" l="1"/>
  <c r="J57" i="18"/>
  <c r="L53" i="18" l="1"/>
  <c r="K57" i="18"/>
  <c r="M53" i="18" l="1"/>
  <c r="L57" i="18"/>
  <c r="N53" i="18" l="1"/>
  <c r="M57" i="18"/>
  <c r="O53" i="18" l="1"/>
  <c r="O57" i="18" s="1"/>
  <c r="N5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WD</author>
  </authors>
  <commentList>
    <comment ref="C31" authorId="0" shapeId="0" xr:uid="{87992E2E-9336-4660-BF22-27F97BD6C234}">
      <text>
        <r>
          <rPr>
            <b/>
            <sz val="9"/>
            <color indexed="81"/>
            <rFont val="Segoe UI"/>
            <charset val="1"/>
          </rPr>
          <t>WD:</t>
        </r>
        <r>
          <rPr>
            <sz val="9"/>
            <color indexed="81"/>
            <rFont val="Segoe UI"/>
            <charset val="1"/>
          </rPr>
          <t xml:space="preserve">
in der Regel ohne Umsatzsteuer
</t>
        </r>
      </text>
    </comment>
    <comment ref="C35" authorId="0" shapeId="0" xr:uid="{323F4A7D-1903-483C-8DD5-EC7505A469DB}">
      <text>
        <r>
          <rPr>
            <b/>
            <sz val="9"/>
            <color indexed="81"/>
            <rFont val="Segoe UI"/>
            <charset val="1"/>
          </rPr>
          <t>WD:</t>
        </r>
        <r>
          <rPr>
            <sz val="9"/>
            <color indexed="81"/>
            <rFont val="Segoe UI"/>
            <charset val="1"/>
          </rPr>
          <t xml:space="preserve">
ohne Umsatzsteuer / Versicherungssteuer ist so hoch wie Umsatzsteuer ist aber keine Umsatzsteuer
</t>
        </r>
      </text>
    </comment>
  </commentList>
</comments>
</file>

<file path=xl/sharedStrings.xml><?xml version="1.0" encoding="utf-8"?>
<sst xmlns="http://schemas.openxmlformats.org/spreadsheetml/2006/main" count="103" uniqueCount="89">
  <si>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</si>
  <si>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</si>
  <si>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</si>
  <si>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</si>
  <si>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</si>
  <si>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</si>
  <si>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</si>
  <si>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</si>
  <si>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</si>
  <si>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</si>
  <si>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</si>
  <si>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</si>
  <si>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Einnahmen</t>
  </si>
  <si>
    <t>Ersatzzahlungen in €</t>
  </si>
  <si>
    <t>Sonstiges</t>
  </si>
  <si>
    <t>Zinsen</t>
  </si>
  <si>
    <t>Summe Einnahmen</t>
  </si>
  <si>
    <t>Bezugsstrom</t>
  </si>
  <si>
    <t>Pachten/Entschädigungen</t>
  </si>
  <si>
    <t>Finanzierung</t>
  </si>
  <si>
    <t>Finanzierungsnebenkosten</t>
  </si>
  <si>
    <t>Rechts-/Beratungskosten</t>
  </si>
  <si>
    <t>Umspannwerk</t>
  </si>
  <si>
    <t>Liquidität</t>
  </si>
  <si>
    <t>Summe Finanzierungskosten</t>
  </si>
  <si>
    <t>Summe Gesamtausgaben</t>
  </si>
  <si>
    <t>Einspeisevergütung gem. Prognose</t>
  </si>
  <si>
    <t>Summen</t>
  </si>
  <si>
    <t>Darlehensauszahlung</t>
  </si>
  <si>
    <t>Betriebsführung (Monatsende)</t>
  </si>
  <si>
    <t xml:space="preserve">Kontostand </t>
  </si>
  <si>
    <t>Prozentuale Windverteilung / Ertragsverteilung auf Monate</t>
  </si>
  <si>
    <t>Total[%]</t>
  </si>
  <si>
    <t>Beiträge (IHK) / Versicherung</t>
  </si>
  <si>
    <t>Reparaturen</t>
  </si>
  <si>
    <t>Enthaltene Umsatzsteuer (kalkulat.)</t>
  </si>
  <si>
    <t>Einspeisevergütung</t>
  </si>
  <si>
    <t>Ausgabe</t>
  </si>
  <si>
    <t>Summe operative Ausgaben</t>
  </si>
  <si>
    <t>Enthaltene Umsatzsteuer (kalk).</t>
  </si>
  <si>
    <t>Saldo Umsatzsteuer (kalk)</t>
  </si>
  <si>
    <t>Haftungsvergütung</t>
  </si>
  <si>
    <t>Liquidität 01.01.2018 - 31.12.2018</t>
  </si>
  <si>
    <t>Kontostand Vorjahr</t>
  </si>
  <si>
    <t xml:space="preserve">Tilgung </t>
  </si>
  <si>
    <t xml:space="preserve">Zinsen </t>
  </si>
  <si>
    <t>Progn. Ertrag in kWh:</t>
  </si>
  <si>
    <t>Bitte hier Prognose eintragen</t>
  </si>
  <si>
    <t>in kWh</t>
  </si>
  <si>
    <t>in Euro</t>
  </si>
  <si>
    <t>Marktwert</t>
  </si>
  <si>
    <t>Marktprämie</t>
  </si>
  <si>
    <t>Vollwartungsvertrag</t>
  </si>
  <si>
    <t>Name der Gesellschaft</t>
  </si>
  <si>
    <t xml:space="preserve">Operative Ausgaben </t>
  </si>
  <si>
    <t>Kommentar SI Mai 2018</t>
  </si>
  <si>
    <t>USt auf 25% der Prognose geändert (angenommener Anteil Marktwert)und Runden auf 2. Nachkommastelle eingebaut. Soll "Sonstiges" tatsächlich berücksichtigt werden?</t>
  </si>
  <si>
    <r>
      <t xml:space="preserve">Liquidität - Kontrolle </t>
    </r>
    <r>
      <rPr>
        <sz val="9"/>
        <rFont val="Arial"/>
        <family val="2"/>
      </rPr>
      <t>(Liquidität-Kontostand)</t>
    </r>
  </si>
  <si>
    <t>Pachten ggf. ohne Umsatzsteuer, ggf. zwei zeilen einfügen für Pacht mit und ohne Umsatzsteuer</t>
  </si>
  <si>
    <t>Versicherungen und Beiträge ohne Umsatzsteuer</t>
  </si>
  <si>
    <t>Zahllast Umsatzsteuer jeweils nach Umsatzstsuervoranmeldung eintragen</t>
  </si>
  <si>
    <t>Abfluss Umsatzstsuer abhängig von Veranlagung (Monat/Quartal) und Dauerfristverlängerung</t>
  </si>
  <si>
    <t>Umsatzsteuer Zahllast (real)</t>
  </si>
  <si>
    <t>Zeile 31 und Zeile 34 nicht bei Umsatzsteuerberechnung mit einbezogen</t>
  </si>
  <si>
    <t>Voraussetzung: Nettoplanung, aber Bruttonachführung, entsprechend muss Umsatzsteuerbelastung nachgeführt werden</t>
  </si>
  <si>
    <t>Bei Umsatzsteuer aus Finanzdienstleistung (Zinsen) bitte Zeile in Berechnung Umsatzsteuer einfügen</t>
  </si>
  <si>
    <t>= Jahresüberschuss/defizit</t>
  </si>
  <si>
    <t>Kontostand Monatsende nachführen</t>
  </si>
  <si>
    <t>Bearbeitungsstand</t>
  </si>
  <si>
    <t>Wenn Sie umstellen auf Bruttoplanung</t>
  </si>
  <si>
    <t xml:space="preserve">1. Schritt: </t>
  </si>
  <si>
    <t>Netto planen</t>
  </si>
  <si>
    <t>2. Schritt:</t>
  </si>
  <si>
    <t>Umsatzsteuer berechnen und addieren</t>
  </si>
  <si>
    <t>3. Schritt:</t>
  </si>
  <si>
    <t>Formel Berechnung Umsatzsteuer umstellen</t>
  </si>
  <si>
    <t>4. Schritt:</t>
  </si>
  <si>
    <t>Umsatzsteuersaldo unter Berücksichtigung Veranlagung und Dauerfristverlängerung verlinken</t>
  </si>
  <si>
    <t>Budget / Brutto</t>
  </si>
  <si>
    <t>Monatsverteilung</t>
  </si>
  <si>
    <t>Buchführung</t>
  </si>
  <si>
    <t>Abschluss / Steuerberatung</t>
  </si>
  <si>
    <t>Saldo</t>
  </si>
  <si>
    <t>Ausschüttung/Entnahmen</t>
  </si>
  <si>
    <t>Bitte Vergütung eintragen (da Post-EEG keine Diff. zwischen Marktprämie und Marktwert)</t>
  </si>
  <si>
    <t>Jahresvergütung</t>
  </si>
  <si>
    <t>Bitte beachten: Es gilt bei der Vergütung das Zuflussprinzip, also Eingang der Januarvergütung im Februar. Deshalb ist auf der Ebene Jahr der Januar mit dem Dezember, der Februar mit dem Januar etc. verknüpft.</t>
  </si>
  <si>
    <t>bitte hier Kontostand eintragen zur Kontrolle, bei Differenz gibt’s falsche Einträge</t>
  </si>
  <si>
    <t>Budget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</si>
</sst>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[$€]* #,##0.00_);_([$€]* \(#,##0.00\);_([$€]* &quot;-&quot;??_);_(@_)"/>
    <numFmt numFmtId="166" formatCode="#,##0.00\ &quot;€&quot;"/>
    <numFmt numFmtId="167" formatCode="#,##0.0"/>
    <numFmt numFmtId="168" formatCode="#,##0.0000\ &quot;€&quot;"/>
    <numFmt numFmtId="169" formatCode="#,##0.0000\ &quot;€&quot;;\-#,##0.0000\ &quot;€&quot;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" fillId="0" borderId="0"/>
  </cellStyleXfs>
  <cellXfs count="146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166" fontId="0" fillId="0" borderId="0" xfId="1" applyNumberFormat="1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/>
    <xf numFmtId="0" fontId="9" fillId="0" borderId="1" xfId="0" applyFont="1" applyFill="1" applyBorder="1"/>
    <xf numFmtId="0" fontId="8" fillId="0" borderId="2" xfId="0" applyFont="1" applyBorder="1"/>
    <xf numFmtId="0" fontId="9" fillId="0" borderId="1" xfId="0" applyFont="1" applyBorder="1"/>
    <xf numFmtId="0" fontId="8" fillId="0" borderId="1" xfId="0" applyFont="1" applyFill="1" applyBorder="1"/>
    <xf numFmtId="0" fontId="9" fillId="0" borderId="3" xfId="0" applyFont="1" applyBorder="1"/>
    <xf numFmtId="0" fontId="0" fillId="0" borderId="0" xfId="0" applyBorder="1"/>
    <xf numFmtId="0" fontId="9" fillId="0" borderId="2" xfId="0" applyFont="1" applyBorder="1"/>
    <xf numFmtId="167" fontId="8" fillId="0" borderId="0" xfId="0" applyNumberFormat="1" applyFont="1" applyBorder="1" applyAlignment="1">
      <alignment horizontal="left"/>
    </xf>
    <xf numFmtId="166" fontId="7" fillId="0" borderId="1" xfId="0" applyNumberFormat="1" applyFont="1" applyBorder="1"/>
    <xf numFmtId="0" fontId="4" fillId="0" borderId="0" xfId="0" applyFont="1"/>
    <xf numFmtId="166" fontId="8" fillId="0" borderId="1" xfId="0" applyNumberFormat="1" applyFont="1" applyFill="1" applyBorder="1"/>
    <xf numFmtId="166" fontId="9" fillId="0" borderId="1" xfId="0" applyNumberFormat="1" applyFont="1" applyFill="1" applyBorder="1"/>
    <xf numFmtId="166" fontId="5" fillId="0" borderId="10" xfId="0" applyNumberFormat="1" applyFont="1" applyFill="1" applyBorder="1"/>
    <xf numFmtId="166" fontId="5" fillId="0" borderId="11" xfId="0" applyNumberFormat="1" applyFont="1" applyFill="1" applyBorder="1"/>
    <xf numFmtId="0" fontId="0" fillId="0" borderId="0" xfId="0" applyFill="1" applyBorder="1"/>
    <xf numFmtId="0" fontId="0" fillId="0" borderId="14" xfId="0" applyBorder="1"/>
    <xf numFmtId="0" fontId="8" fillId="0" borderId="0" xfId="0" applyFont="1" applyFill="1"/>
    <xf numFmtId="0" fontId="0" fillId="0" borderId="0" xfId="0"/>
    <xf numFmtId="166" fontId="8" fillId="2" borderId="1" xfId="0" applyNumberFormat="1" applyFont="1" applyFill="1" applyBorder="1"/>
    <xf numFmtId="166" fontId="9" fillId="2" borderId="0" xfId="0" applyNumberFormat="1" applyFont="1" applyFill="1" applyBorder="1"/>
    <xf numFmtId="166" fontId="9" fillId="2" borderId="6" xfId="0" applyNumberFormat="1" applyFont="1" applyFill="1" applyBorder="1"/>
    <xf numFmtId="3" fontId="11" fillId="0" borderId="0" xfId="0" applyNumberFormat="1" applyFont="1" applyBorder="1" applyAlignment="1">
      <alignment horizontal="right"/>
    </xf>
    <xf numFmtId="4" fontId="0" fillId="0" borderId="0" xfId="0" applyNumberFormat="1" applyBorder="1"/>
    <xf numFmtId="167" fontId="8" fillId="0" borderId="3" xfId="0" applyNumberFormat="1" applyFont="1" applyBorder="1" applyAlignment="1">
      <alignment horizontal="left"/>
    </xf>
    <xf numFmtId="167" fontId="8" fillId="0" borderId="6" xfId="0" applyNumberFormat="1" applyFont="1" applyBorder="1" applyAlignment="1">
      <alignment horizontal="left"/>
    </xf>
    <xf numFmtId="4" fontId="8" fillId="0" borderId="7" xfId="0" applyNumberFormat="1" applyFont="1" applyBorder="1" applyAlignment="1">
      <alignment horizontal="left"/>
    </xf>
    <xf numFmtId="4" fontId="8" fillId="0" borderId="8" xfId="0" applyNumberFormat="1" applyFont="1" applyBorder="1" applyAlignment="1">
      <alignment horizontal="left"/>
    </xf>
    <xf numFmtId="167" fontId="8" fillId="0" borderId="9" xfId="0" applyNumberFormat="1" applyFont="1" applyBorder="1" applyAlignment="1">
      <alignment horizontal="left"/>
    </xf>
    <xf numFmtId="0" fontId="10" fillId="0" borderId="0" xfId="0" applyFont="1"/>
    <xf numFmtId="0" fontId="9" fillId="6" borderId="1" xfId="0" applyFont="1" applyFill="1" applyBorder="1"/>
    <xf numFmtId="166" fontId="8" fillId="6" borderId="1" xfId="0" applyNumberFormat="1" applyFont="1" applyFill="1" applyBorder="1"/>
    <xf numFmtId="0" fontId="8" fillId="6" borderId="1" xfId="0" applyFont="1" applyFill="1" applyBorder="1"/>
    <xf numFmtId="166" fontId="8" fillId="6" borderId="1" xfId="1" applyNumberFormat="1" applyFont="1" applyFill="1" applyBorder="1"/>
    <xf numFmtId="166" fontId="9" fillId="6" borderId="1" xfId="0" applyNumberFormat="1" applyFont="1" applyFill="1" applyBorder="1"/>
    <xf numFmtId="166" fontId="9" fillId="2" borderId="7" xfId="0" applyNumberFormat="1" applyFont="1" applyFill="1" applyBorder="1"/>
    <xf numFmtId="166" fontId="9" fillId="2" borderId="3" xfId="0" applyNumberFormat="1" applyFont="1" applyFill="1" applyBorder="1"/>
    <xf numFmtId="0" fontId="0" fillId="0" borderId="1" xfId="0" applyFill="1" applyBorder="1"/>
    <xf numFmtId="166" fontId="8" fillId="3" borderId="1" xfId="0" applyNumberFormat="1" applyFont="1" applyFill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166" fontId="8" fillId="0" borderId="1" xfId="5" applyNumberFormat="1" applyFont="1" applyFill="1" applyBorder="1"/>
    <xf numFmtId="0" fontId="9" fillId="0" borderId="11" xfId="0" applyFont="1" applyFill="1" applyBorder="1"/>
    <xf numFmtId="166" fontId="9" fillId="0" borderId="11" xfId="0" applyNumberFormat="1" applyFont="1" applyFill="1" applyBorder="1"/>
    <xf numFmtId="0" fontId="8" fillId="0" borderId="15" xfId="0" applyFont="1" applyBorder="1"/>
    <xf numFmtId="166" fontId="8" fillId="0" borderId="15" xfId="0" applyNumberFormat="1" applyFont="1" applyFill="1" applyBorder="1"/>
    <xf numFmtId="168" fontId="14" fillId="0" borderId="0" xfId="0" applyNumberFormat="1" applyFont="1" applyBorder="1"/>
    <xf numFmtId="0" fontId="8" fillId="0" borderId="15" xfId="0" applyFont="1" applyFill="1" applyBorder="1"/>
    <xf numFmtId="166" fontId="9" fillId="6" borderId="11" xfId="0" applyNumberFormat="1" applyFont="1" applyFill="1" applyBorder="1"/>
    <xf numFmtId="0" fontId="8" fillId="0" borderId="10" xfId="0" applyFont="1" applyFill="1" applyBorder="1"/>
    <xf numFmtId="4" fontId="0" fillId="0" borderId="1" xfId="0" applyNumberFormat="1" applyBorder="1"/>
    <xf numFmtId="0" fontId="11" fillId="6" borderId="0" xfId="0" applyFont="1" applyFill="1"/>
    <xf numFmtId="0" fontId="9" fillId="0" borderId="11" xfId="0" applyFont="1" applyBorder="1"/>
    <xf numFmtId="166" fontId="8" fillId="2" borderId="11" xfId="0" applyNumberFormat="1" applyFont="1" applyFill="1" applyBorder="1"/>
    <xf numFmtId="166" fontId="8" fillId="0" borderId="11" xfId="0" applyNumberFormat="1" applyFont="1" applyFill="1" applyBorder="1"/>
    <xf numFmtId="0" fontId="9" fillId="5" borderId="15" xfId="0" applyFont="1" applyFill="1" applyBorder="1"/>
    <xf numFmtId="166" fontId="8" fillId="5" borderId="15" xfId="0" applyNumberFormat="1" applyFont="1" applyFill="1" applyBorder="1"/>
    <xf numFmtId="166" fontId="8" fillId="5" borderId="15" xfId="1" applyNumberFormat="1" applyFont="1" applyFill="1" applyBorder="1"/>
    <xf numFmtId="0" fontId="2" fillId="0" borderId="0" xfId="0" applyFont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166" fontId="9" fillId="0" borderId="7" xfId="0" applyNumberFormat="1" applyFont="1" applyFill="1" applyBorder="1"/>
    <xf numFmtId="166" fontId="9" fillId="0" borderId="3" xfId="0" applyNumberFormat="1" applyFont="1" applyFill="1" applyBorder="1"/>
    <xf numFmtId="166" fontId="9" fillId="0" borderId="6" xfId="0" applyNumberFormat="1" applyFont="1" applyFill="1" applyBorder="1"/>
    <xf numFmtId="166" fontId="9" fillId="0" borderId="0" xfId="0" applyNumberFormat="1" applyFont="1" applyFill="1" applyBorder="1"/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66" fontId="8" fillId="4" borderId="1" xfId="0" applyNumberFormat="1" applyFont="1" applyFill="1" applyBorder="1"/>
    <xf numFmtId="166" fontId="9" fillId="4" borderId="11" xfId="0" applyNumberFormat="1" applyFont="1" applyFill="1" applyBorder="1"/>
    <xf numFmtId="166" fontId="9" fillId="4" borderId="1" xfId="0" applyNumberFormat="1" applyFont="1" applyFill="1" applyBorder="1"/>
    <xf numFmtId="166" fontId="8" fillId="4" borderId="1" xfId="5" applyNumberFormat="1" applyFont="1" applyFill="1" applyBorder="1"/>
    <xf numFmtId="0" fontId="9" fillId="0" borderId="3" xfId="0" applyFont="1" applyFill="1" applyBorder="1"/>
    <xf numFmtId="8" fontId="0" fillId="0" borderId="1" xfId="0" applyNumberFormat="1" applyBorder="1"/>
    <xf numFmtId="0" fontId="16" fillId="0" borderId="0" xfId="0" applyFont="1"/>
    <xf numFmtId="4" fontId="11" fillId="0" borderId="1" xfId="0" applyNumberFormat="1" applyFont="1" applyBorder="1" applyAlignment="1">
      <alignment horizontal="right"/>
    </xf>
    <xf numFmtId="0" fontId="16" fillId="0" borderId="0" xfId="0" applyFont="1" applyBorder="1"/>
    <xf numFmtId="0" fontId="15" fillId="7" borderId="2" xfId="0" applyFont="1" applyFill="1" applyBorder="1"/>
    <xf numFmtId="166" fontId="15" fillId="7" borderId="1" xfId="5" applyNumberFormat="1" applyFont="1" applyFill="1" applyBorder="1"/>
    <xf numFmtId="0" fontId="15" fillId="7" borderId="1" xfId="0" applyFont="1" applyFill="1" applyBorder="1"/>
    <xf numFmtId="166" fontId="15" fillId="7" borderId="1" xfId="0" applyNumberFormat="1" applyFont="1" applyFill="1" applyBorder="1"/>
    <xf numFmtId="0" fontId="9" fillId="7" borderId="1" xfId="0" applyFont="1" applyFill="1" applyBorder="1"/>
    <xf numFmtId="8" fontId="8" fillId="7" borderId="1" xfId="5" applyNumberFormat="1" applyFont="1" applyFill="1" applyBorder="1"/>
    <xf numFmtId="166" fontId="8" fillId="7" borderId="15" xfId="0" applyNumberFormat="1" applyFont="1" applyFill="1" applyBorder="1"/>
    <xf numFmtId="49" fontId="0" fillId="0" borderId="0" xfId="0" applyNumberFormat="1"/>
    <xf numFmtId="0" fontId="0" fillId="7" borderId="0" xfId="0" applyFill="1"/>
    <xf numFmtId="0" fontId="9" fillId="0" borderId="0" xfId="0" applyFont="1" applyFill="1" applyBorder="1"/>
    <xf numFmtId="166" fontId="15" fillId="7" borderId="2" xfId="0" applyNumberFormat="1" applyFont="1" applyFill="1" applyBorder="1"/>
    <xf numFmtId="0" fontId="9" fillId="4" borderId="12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8" fillId="4" borderId="1" xfId="0" applyFont="1" applyFill="1" applyBorder="1"/>
    <xf numFmtId="0" fontId="8" fillId="4" borderId="15" xfId="0" applyFont="1" applyFill="1" applyBorder="1"/>
    <xf numFmtId="0" fontId="15" fillId="4" borderId="1" xfId="0" applyFont="1" applyFill="1" applyBorder="1"/>
    <xf numFmtId="166" fontId="15" fillId="4" borderId="1" xfId="0" applyNumberFormat="1" applyFont="1" applyFill="1" applyBorder="1"/>
    <xf numFmtId="0" fontId="8" fillId="4" borderId="2" xfId="0" applyFont="1" applyFill="1" applyBorder="1"/>
    <xf numFmtId="0" fontId="9" fillId="4" borderId="2" xfId="0" applyFont="1" applyFill="1" applyBorder="1"/>
    <xf numFmtId="0" fontId="9" fillId="4" borderId="1" xfId="0" applyFont="1" applyFill="1" applyBorder="1"/>
    <xf numFmtId="0" fontId="9" fillId="4" borderId="11" xfId="0" applyFont="1" applyFill="1" applyBorder="1"/>
    <xf numFmtId="0" fontId="9" fillId="4" borderId="1" xfId="0" applyFont="1" applyFill="1" applyBorder="1" applyAlignment="1">
      <alignment vertical="center" wrapText="1"/>
    </xf>
    <xf numFmtId="0" fontId="15" fillId="4" borderId="2" xfId="0" applyFont="1" applyFill="1" applyBorder="1"/>
    <xf numFmtId="166" fontId="15" fillId="4" borderId="2" xfId="0" applyNumberFormat="1" applyFont="1" applyFill="1" applyBorder="1"/>
    <xf numFmtId="0" fontId="9" fillId="4" borderId="15" xfId="0" applyFont="1" applyFill="1" applyBorder="1"/>
    <xf numFmtId="8" fontId="7" fillId="4" borderId="4" xfId="0" applyNumberFormat="1" applyFont="1" applyFill="1" applyBorder="1" applyAlignment="1">
      <alignment vertical="center"/>
    </xf>
    <xf numFmtId="8" fontId="7" fillId="4" borderId="8" xfId="0" applyNumberFormat="1" applyFont="1" applyFill="1" applyBorder="1" applyAlignment="1">
      <alignment vertical="center"/>
    </xf>
    <xf numFmtId="166" fontId="9" fillId="4" borderId="1" xfId="5" applyNumberFormat="1" applyFont="1" applyFill="1" applyBorder="1"/>
    <xf numFmtId="166" fontId="9" fillId="0" borderId="1" xfId="5" applyNumberFormat="1" applyFont="1" applyFill="1" applyBorder="1"/>
    <xf numFmtId="0" fontId="18" fillId="0" borderId="0" xfId="0" applyFont="1"/>
    <xf numFmtId="0" fontId="8" fillId="6" borderId="11" xfId="0" applyFont="1" applyFill="1" applyBorder="1"/>
    <xf numFmtId="166" fontId="7" fillId="7" borderId="1" xfId="0" applyNumberFormat="1" applyFont="1" applyFill="1" applyBorder="1" applyAlignment="1">
      <alignment vertical="center"/>
    </xf>
    <xf numFmtId="166" fontId="7" fillId="7" borderId="1" xfId="0" applyNumberFormat="1" applyFont="1" applyFill="1" applyBorder="1"/>
    <xf numFmtId="0" fontId="9" fillId="7" borderId="1" xfId="0" applyFont="1" applyFill="1" applyBorder="1" applyAlignment="1">
      <alignment horizontal="center"/>
    </xf>
    <xf numFmtId="4" fontId="8" fillId="7" borderId="1" xfId="0" applyNumberFormat="1" applyFont="1" applyFill="1" applyBorder="1"/>
    <xf numFmtId="166" fontId="8" fillId="7" borderId="1" xfId="0" applyNumberFormat="1" applyFont="1" applyFill="1" applyBorder="1"/>
    <xf numFmtId="166" fontId="9" fillId="7" borderId="11" xfId="0" applyNumberFormat="1" applyFont="1" applyFill="1" applyBorder="1"/>
    <xf numFmtId="166" fontId="9" fillId="7" borderId="1" xfId="0" applyNumberFormat="1" applyFont="1" applyFill="1" applyBorder="1"/>
    <xf numFmtId="166" fontId="8" fillId="7" borderId="1" xfId="5" applyNumberFormat="1" applyFont="1" applyFill="1" applyBorder="1"/>
    <xf numFmtId="166" fontId="9" fillId="7" borderId="1" xfId="5" applyNumberFormat="1" applyFont="1" applyFill="1" applyBorder="1"/>
    <xf numFmtId="166" fontId="8" fillId="7" borderId="11" xfId="0" applyNumberFormat="1" applyFont="1" applyFill="1" applyBorder="1"/>
    <xf numFmtId="166" fontId="15" fillId="0" borderId="1" xfId="0" applyNumberFormat="1" applyFont="1" applyFill="1" applyBorder="1"/>
    <xf numFmtId="0" fontId="21" fillId="0" borderId="0" xfId="0" applyFont="1" applyBorder="1"/>
    <xf numFmtId="3" fontId="22" fillId="0" borderId="0" xfId="0" applyNumberFormat="1" applyFont="1" applyBorder="1" applyAlignment="1">
      <alignment horizontal="right"/>
    </xf>
    <xf numFmtId="169" fontId="22" fillId="0" borderId="0" xfId="0" applyNumberFormat="1" applyFont="1" applyBorder="1"/>
    <xf numFmtId="7" fontId="22" fillId="0" borderId="0" xfId="0" applyNumberFormat="1" applyFont="1" applyBorder="1"/>
    <xf numFmtId="0" fontId="21" fillId="0" borderId="0" xfId="0" applyFont="1" applyFill="1" applyBorder="1"/>
    <xf numFmtId="8" fontId="0" fillId="0" borderId="0" xfId="0" applyNumberFormat="1"/>
    <xf numFmtId="166" fontId="9" fillId="7" borderId="15" xfId="0" applyNumberFormat="1" applyFont="1" applyFill="1" applyBorder="1"/>
    <xf numFmtId="166" fontId="8" fillId="4" borderId="2" xfId="0" applyNumberFormat="1" applyFont="1" applyFill="1" applyBorder="1"/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8" fontId="7" fillId="0" borderId="10" xfId="0" applyNumberFormat="1" applyFont="1" applyFill="1" applyBorder="1" applyAlignment="1">
      <alignment vertical="center"/>
    </xf>
    <xf numFmtId="8" fontId="7" fillId="0" borderId="11" xfId="0" applyNumberFormat="1" applyFont="1" applyFill="1" applyBorder="1" applyAlignment="1">
      <alignment vertical="center"/>
    </xf>
    <xf numFmtId="166" fontId="17" fillId="0" borderId="4" xfId="0" applyNumberFormat="1" applyFont="1" applyFill="1" applyBorder="1" applyAlignment="1">
      <alignment vertical="center"/>
    </xf>
    <xf numFmtId="166" fontId="17" fillId="0" borderId="8" xfId="0" applyNumberFormat="1" applyFont="1" applyFill="1" applyBorder="1" applyAlignment="1">
      <alignment vertical="center"/>
    </xf>
    <xf numFmtId="166" fontId="17" fillId="2" borderId="4" xfId="0" applyNumberFormat="1" applyFont="1" applyFill="1" applyBorder="1" applyAlignment="1">
      <alignment vertical="center"/>
    </xf>
    <xf numFmtId="166" fontId="17" fillId="2" borderId="8" xfId="0" applyNumberFormat="1" applyFont="1" applyFill="1" applyBorder="1" applyAlignment="1">
      <alignment vertical="center"/>
    </xf>
    <xf numFmtId="166" fontId="17" fillId="2" borderId="5" xfId="0" applyNumberFormat="1" applyFont="1" applyFill="1" applyBorder="1" applyAlignment="1">
      <alignment vertical="center"/>
    </xf>
    <xf numFmtId="166" fontId="17" fillId="2" borderId="9" xfId="0" applyNumberFormat="1" applyFont="1" applyFill="1" applyBorder="1" applyAlignment="1">
      <alignment vertical="center"/>
    </xf>
    <xf numFmtId="167" fontId="8" fillId="0" borderId="12" xfId="0" applyNumberFormat="1" applyFont="1" applyBorder="1" applyAlignment="1">
      <alignment horizontal="center"/>
    </xf>
    <xf numFmtId="167" fontId="8" fillId="0" borderId="13" xfId="0" applyNumberFormat="1" applyFont="1" applyBorder="1" applyAlignment="1">
      <alignment horizontal="center"/>
    </xf>
    <xf numFmtId="167" fontId="8" fillId="0" borderId="14" xfId="0" applyNumberFormat="1" applyFont="1" applyBorder="1" applyAlignment="1">
      <alignment horizontal="center"/>
    </xf>
  </cellXfs>
  <cellStyles count="9">
    <cellStyle name="Euro" xfId="1" xr:uid="{00000000-0005-0000-0000-000000000000}"/>
    <cellStyle name="Euro 2" xfId="2" xr:uid="{00000000-0005-0000-0000-000001000000}"/>
    <cellStyle name="Komma 2" xfId="7" xr:uid="{00000000-0005-0000-0000-000002000000}"/>
    <cellStyle name="Prozent 2" xfId="3" xr:uid="{00000000-0005-0000-0000-000003000000}"/>
    <cellStyle name="Standard" xfId="0" builtinId="0"/>
    <cellStyle name="Standard 2" xfId="4" xr:uid="{00000000-0005-0000-0000-000005000000}"/>
    <cellStyle name="Standard 3" xfId="8" xr:uid="{00000000-0005-0000-0000-000006000000}"/>
    <cellStyle name="Währung" xfId="5" builtinId="4"/>
    <cellStyle name="Währung 2" xfId="6" xr:uid="{00000000-0005-0000-0000-000008000000}"/>
  </cellStyles>
  <dxfs count="3">
    <dxf>
      <font>
        <color rgb="FFFF0000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selection activeCell="B8" sqref="B8"/>
    </sheetView>
  </sheetViews>
  <sheetFormatPr baseColWidth="10" defaultRowHeight="14.4" x14ac:dyDescent="0.3"/>
  <cols>
    <col min="1" max="1" width="38.44140625" bestFit="1" customWidth="1"/>
    <col min="2" max="2" width="16" style="25" customWidth="1"/>
    <col min="3" max="3" width="15.109375" style="25" customWidth="1"/>
    <col min="4" max="15" width="19" customWidth="1"/>
    <col min="16" max="16" width="12.6640625" bestFit="1" customWidth="1"/>
    <col min="17" max="17" width="3.44140625" customWidth="1"/>
  </cols>
  <sheetData>
    <row r="1" spans="1:18" ht="18" x14ac:dyDescent="0.35">
      <c r="A1" s="65" t="s">
        <v>53</v>
      </c>
      <c r="B1" s="65"/>
      <c r="C1" s="65"/>
      <c r="D1" s="46"/>
      <c r="E1" s="47"/>
      <c r="F1" s="25"/>
      <c r="G1" s="25"/>
      <c r="H1" s="25"/>
      <c r="I1" s="25"/>
      <c r="J1" s="25"/>
      <c r="K1" s="25"/>
      <c r="L1" s="25"/>
      <c r="M1" s="25"/>
      <c r="N1" s="25"/>
      <c r="O1" s="1"/>
      <c r="P1" s="25"/>
    </row>
    <row r="2" spans="1:18" x14ac:dyDescent="0.3">
      <c r="A2" s="132" t="s">
        <v>42</v>
      </c>
      <c r="B2" s="132"/>
      <c r="C2" s="132"/>
      <c r="D2" s="132"/>
      <c r="E2" s="25"/>
      <c r="F2" s="25"/>
      <c r="G2" s="25"/>
      <c r="H2" s="25"/>
      <c r="I2" s="25"/>
      <c r="J2" s="25"/>
      <c r="K2" s="25"/>
      <c r="L2" s="25"/>
      <c r="M2" s="25"/>
      <c r="N2" s="2"/>
      <c r="O2" s="3"/>
      <c r="P2" s="25"/>
    </row>
    <row r="3" spans="1:18" x14ac:dyDescent="0.3">
      <c r="A3" s="132"/>
      <c r="B3" s="132"/>
      <c r="C3" s="132"/>
      <c r="D3" s="132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8" x14ac:dyDescent="0.3">
      <c r="A4" s="17" t="s">
        <v>68</v>
      </c>
      <c r="B4" s="17"/>
      <c r="C4" s="17"/>
      <c r="D4" s="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8" x14ac:dyDescent="0.3">
      <c r="A5" s="5"/>
      <c r="B5" s="5"/>
      <c r="C5" s="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8" ht="15.6" x14ac:dyDescent="0.3">
      <c r="A6" s="25"/>
      <c r="D6" s="133">
        <v>2018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4"/>
      <c r="P6" s="23"/>
      <c r="R6" s="79" t="s">
        <v>55</v>
      </c>
    </row>
    <row r="7" spans="1:18" ht="26.4" customHeight="1" x14ac:dyDescent="0.3">
      <c r="A7" s="6"/>
      <c r="B7" s="93" t="s">
        <v>88</v>
      </c>
      <c r="C7" s="93" t="s">
        <v>78</v>
      </c>
      <c r="D7" s="71" t="s">
        <v>0</v>
      </c>
      <c r="E7" s="66" t="s">
        <v>1</v>
      </c>
      <c r="F7" s="72" t="s">
        <v>2</v>
      </c>
      <c r="G7" s="66" t="s">
        <v>3</v>
      </c>
      <c r="H7" s="66" t="s">
        <v>4</v>
      </c>
      <c r="I7" s="66" t="s">
        <v>5</v>
      </c>
      <c r="J7" s="66" t="s">
        <v>6</v>
      </c>
      <c r="K7" s="66" t="s">
        <v>7</v>
      </c>
      <c r="L7" s="66" t="s">
        <v>8</v>
      </c>
      <c r="M7" s="66" t="s">
        <v>9</v>
      </c>
      <c r="N7" s="66" t="s">
        <v>10</v>
      </c>
      <c r="O7" s="66" t="s">
        <v>11</v>
      </c>
      <c r="P7" s="115" t="s">
        <v>27</v>
      </c>
    </row>
    <row r="8" spans="1:18" x14ac:dyDescent="0.3">
      <c r="A8" s="6" t="s">
        <v>12</v>
      </c>
      <c r="B8" s="94"/>
      <c r="C8" s="9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116"/>
    </row>
    <row r="9" spans="1:18" x14ac:dyDescent="0.3">
      <c r="A9" s="45" t="s">
        <v>26</v>
      </c>
      <c r="B9" s="73">
        <f>Vergütung!M5</f>
        <v>552000</v>
      </c>
      <c r="C9" s="73">
        <f>SUM(B9*1.19)</f>
        <v>656880</v>
      </c>
      <c r="D9" s="45">
        <f>Vergütung!L5*1.19</f>
        <v>74884.319999999992</v>
      </c>
      <c r="E9" s="45">
        <f>Vergütung!A5*1.19</f>
        <v>82110</v>
      </c>
      <c r="F9" s="45">
        <f>Vergütung!B5*1.19</f>
        <v>76854.959999999992</v>
      </c>
      <c r="G9" s="45">
        <f>Vergütung!C5*1.19</f>
        <v>74884.319999999992</v>
      </c>
      <c r="H9" s="45">
        <f>Vergütung!D5*1.19</f>
        <v>49266</v>
      </c>
      <c r="I9" s="45">
        <f>Vergütung!E5*1.19</f>
        <v>38099.040000000001</v>
      </c>
      <c r="J9" s="45">
        <f>Vergütung!F5*1.19</f>
        <v>35471.519999999997</v>
      </c>
      <c r="K9" s="45">
        <f>Vergütung!G5*1.19</f>
        <v>35471.519999999997</v>
      </c>
      <c r="L9" s="45">
        <f>Vergütung!H5*1.19</f>
        <v>32844</v>
      </c>
      <c r="M9" s="45">
        <f>Vergütung!I5*1.19</f>
        <v>41383.439999999995</v>
      </c>
      <c r="N9" s="45">
        <f>Vergütung!J5*1.19</f>
        <v>57805.439999999995</v>
      </c>
      <c r="O9" s="45">
        <f>Vergütung!K5*1.19</f>
        <v>57805.439999999995</v>
      </c>
      <c r="P9" s="117">
        <f>SUM(D9:O9)</f>
        <v>656879.99999999988</v>
      </c>
    </row>
    <row r="10" spans="1:18" x14ac:dyDescent="0.3">
      <c r="A10" s="7" t="s">
        <v>50</v>
      </c>
      <c r="B10" s="95"/>
      <c r="C10" s="95"/>
      <c r="D10" s="48"/>
      <c r="E10" s="48"/>
      <c r="F10" s="18"/>
      <c r="G10" s="48"/>
      <c r="H10" s="48"/>
      <c r="I10" s="48"/>
      <c r="J10" s="48"/>
      <c r="K10" s="48"/>
      <c r="L10" s="48"/>
      <c r="M10" s="48"/>
      <c r="N10" s="48"/>
      <c r="O10" s="48"/>
      <c r="P10" s="117">
        <f>SUM(D10:O10)</f>
        <v>0</v>
      </c>
    </row>
    <row r="11" spans="1:18" x14ac:dyDescent="0.3">
      <c r="A11" s="7" t="s">
        <v>51</v>
      </c>
      <c r="B11" s="95"/>
      <c r="C11" s="95"/>
      <c r="D11" s="48"/>
      <c r="E11" s="48"/>
      <c r="F11" s="18"/>
      <c r="G11" s="48"/>
      <c r="H11" s="48"/>
      <c r="I11" s="48"/>
      <c r="J11" s="48"/>
      <c r="K11" s="48"/>
      <c r="L11" s="48"/>
      <c r="M11" s="48"/>
      <c r="N11" s="48"/>
      <c r="O11" s="48"/>
      <c r="P11" s="117"/>
    </row>
    <row r="12" spans="1:18" x14ac:dyDescent="0.3">
      <c r="A12" s="7" t="s">
        <v>13</v>
      </c>
      <c r="B12" s="95"/>
      <c r="C12" s="95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17">
        <f t="shared" ref="P12:P17" si="0">SUM(D12:O12)</f>
        <v>0</v>
      </c>
    </row>
    <row r="13" spans="1:18" x14ac:dyDescent="0.3">
      <c r="A13" s="7" t="s">
        <v>28</v>
      </c>
      <c r="B13" s="95"/>
      <c r="C13" s="9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17">
        <f t="shared" si="0"/>
        <v>0</v>
      </c>
    </row>
    <row r="14" spans="1:18" x14ac:dyDescent="0.3">
      <c r="A14" s="7" t="s">
        <v>14</v>
      </c>
      <c r="B14" s="95"/>
      <c r="C14" s="95"/>
      <c r="D14" s="18"/>
      <c r="E14" s="18"/>
      <c r="F14" s="18"/>
      <c r="G14" s="48"/>
      <c r="H14" s="18"/>
      <c r="I14" s="18"/>
      <c r="J14" s="18"/>
      <c r="K14" s="18"/>
      <c r="L14" s="18"/>
      <c r="M14" s="18"/>
      <c r="N14" s="18"/>
      <c r="O14" s="18"/>
      <c r="P14" s="117">
        <f t="shared" si="0"/>
        <v>0</v>
      </c>
    </row>
    <row r="15" spans="1:18" ht="15" thickBot="1" x14ac:dyDescent="0.35">
      <c r="A15" s="51" t="s">
        <v>15</v>
      </c>
      <c r="B15" s="96"/>
      <c r="C15" s="96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88">
        <f t="shared" si="0"/>
        <v>0</v>
      </c>
    </row>
    <row r="16" spans="1:18" x14ac:dyDescent="0.3">
      <c r="A16" s="49" t="s">
        <v>16</v>
      </c>
      <c r="B16" s="74">
        <f>SUM(B9:B15)</f>
        <v>552000</v>
      </c>
      <c r="C16" s="74">
        <f>SUM(C9:C15)</f>
        <v>656880</v>
      </c>
      <c r="D16" s="50">
        <f t="shared" ref="D16:O16" si="1">IF(D10&gt;0,SUM(D10:D15),SUM(D9:D15))</f>
        <v>74884.319999999992</v>
      </c>
      <c r="E16" s="50">
        <f t="shared" si="1"/>
        <v>82110</v>
      </c>
      <c r="F16" s="50">
        <f t="shared" si="1"/>
        <v>76854.959999999992</v>
      </c>
      <c r="G16" s="50">
        <f t="shared" si="1"/>
        <v>74884.319999999992</v>
      </c>
      <c r="H16" s="50">
        <f t="shared" si="1"/>
        <v>49266</v>
      </c>
      <c r="I16" s="50">
        <f t="shared" si="1"/>
        <v>38099.040000000001</v>
      </c>
      <c r="J16" s="50">
        <f t="shared" si="1"/>
        <v>35471.519999999997</v>
      </c>
      <c r="K16" s="50">
        <f t="shared" si="1"/>
        <v>35471.519999999997</v>
      </c>
      <c r="L16" s="50">
        <f t="shared" si="1"/>
        <v>32844</v>
      </c>
      <c r="M16" s="50">
        <f t="shared" si="1"/>
        <v>41383.439999999995</v>
      </c>
      <c r="N16" s="50">
        <f t="shared" si="1"/>
        <v>57805.439999999995</v>
      </c>
      <c r="O16" s="50">
        <f t="shared" si="1"/>
        <v>57805.439999999995</v>
      </c>
      <c r="P16" s="118">
        <f>SUM(D16:O16)</f>
        <v>656879.99999999988</v>
      </c>
    </row>
    <row r="17" spans="1:18" x14ac:dyDescent="0.3">
      <c r="A17" s="84" t="s">
        <v>35</v>
      </c>
      <c r="B17" s="97"/>
      <c r="C17" s="98">
        <f t="shared" ref="C17:O17" si="2">SUM(C16/119*19)</f>
        <v>104880</v>
      </c>
      <c r="D17" s="85">
        <f t="shared" si="2"/>
        <v>11956.32</v>
      </c>
      <c r="E17" s="85">
        <f t="shared" si="2"/>
        <v>13110</v>
      </c>
      <c r="F17" s="85">
        <f t="shared" si="2"/>
        <v>12270.96</v>
      </c>
      <c r="G17" s="85">
        <f t="shared" si="2"/>
        <v>11956.32</v>
      </c>
      <c r="H17" s="85">
        <f t="shared" si="2"/>
        <v>7866</v>
      </c>
      <c r="I17" s="85">
        <f t="shared" si="2"/>
        <v>6083.0400000000009</v>
      </c>
      <c r="J17" s="85">
        <f t="shared" si="2"/>
        <v>5663.5199999999995</v>
      </c>
      <c r="K17" s="85">
        <f t="shared" si="2"/>
        <v>5663.5199999999995</v>
      </c>
      <c r="L17" s="85">
        <f t="shared" si="2"/>
        <v>5244</v>
      </c>
      <c r="M17" s="85">
        <f t="shared" si="2"/>
        <v>6607.4399999999987</v>
      </c>
      <c r="N17" s="85">
        <f t="shared" si="2"/>
        <v>9229.4399999999987</v>
      </c>
      <c r="O17" s="85">
        <f t="shared" si="2"/>
        <v>9229.4399999999987</v>
      </c>
      <c r="P17" s="85">
        <f t="shared" si="0"/>
        <v>104880.00000000001</v>
      </c>
      <c r="R17" s="79" t="s">
        <v>56</v>
      </c>
    </row>
    <row r="18" spans="1:18" x14ac:dyDescent="0.3">
      <c r="A18" s="9"/>
      <c r="B18" s="99"/>
      <c r="C18" s="131">
        <f>SUM(B16-C16)</f>
        <v>-104880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17"/>
    </row>
    <row r="19" spans="1:18" x14ac:dyDescent="0.3">
      <c r="A19" s="14" t="s">
        <v>37</v>
      </c>
      <c r="B19" s="100"/>
      <c r="C19" s="100"/>
      <c r="D19" s="18"/>
      <c r="E19" s="18"/>
      <c r="F19" s="18"/>
      <c r="G19" s="18"/>
      <c r="H19" s="18"/>
      <c r="I19" s="18"/>
      <c r="J19" s="18"/>
      <c r="K19" s="18"/>
      <c r="L19" s="26"/>
      <c r="M19" s="26"/>
      <c r="N19" s="26"/>
      <c r="O19" s="26"/>
      <c r="P19" s="117"/>
    </row>
    <row r="20" spans="1:18" x14ac:dyDescent="0.3">
      <c r="A20" s="37" t="s">
        <v>19</v>
      </c>
      <c r="B20" s="101"/>
      <c r="C20" s="101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117"/>
    </row>
    <row r="21" spans="1:18" x14ac:dyDescent="0.3">
      <c r="A21" s="39" t="s">
        <v>44</v>
      </c>
      <c r="B21" s="73"/>
      <c r="C21" s="73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117">
        <f>SUM(D21:O21)</f>
        <v>0</v>
      </c>
    </row>
    <row r="22" spans="1:18" x14ac:dyDescent="0.3">
      <c r="A22" s="39" t="s">
        <v>45</v>
      </c>
      <c r="B22" s="73"/>
      <c r="C22" s="73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117">
        <f>SUM(D22:O22)</f>
        <v>0</v>
      </c>
      <c r="R22" t="s">
        <v>65</v>
      </c>
    </row>
    <row r="23" spans="1:18" x14ac:dyDescent="0.3">
      <c r="A23" s="39" t="s">
        <v>20</v>
      </c>
      <c r="B23" s="95"/>
      <c r="C23" s="95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40"/>
      <c r="P23" s="117">
        <f>SUM(D23:O23)</f>
        <v>0</v>
      </c>
    </row>
    <row r="24" spans="1:18" x14ac:dyDescent="0.3">
      <c r="A24" s="39"/>
      <c r="B24" s="95"/>
      <c r="C24" s="95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40"/>
      <c r="P24" s="117"/>
    </row>
    <row r="25" spans="1:18" x14ac:dyDescent="0.3">
      <c r="A25" s="112"/>
      <c r="B25" s="102"/>
      <c r="C25" s="102"/>
      <c r="D25" s="38"/>
      <c r="E25" s="38"/>
      <c r="F25" s="38"/>
      <c r="G25" s="55"/>
      <c r="H25" s="55"/>
      <c r="I25" s="55"/>
      <c r="J25" s="55"/>
      <c r="K25" s="55"/>
      <c r="L25" s="55"/>
      <c r="M25" s="55"/>
      <c r="N25" s="55"/>
      <c r="O25" s="55"/>
      <c r="P25" s="118"/>
    </row>
    <row r="26" spans="1:18" x14ac:dyDescent="0.3">
      <c r="A26" s="37" t="s">
        <v>24</v>
      </c>
      <c r="B26" s="75">
        <f>SUM(B21:B25)</f>
        <v>0</v>
      </c>
      <c r="C26" s="75">
        <f>SUM(C21:C25)</f>
        <v>0</v>
      </c>
      <c r="D26" s="41">
        <f t="shared" ref="D26:O26" si="3">SUM(D21:D24)</f>
        <v>0</v>
      </c>
      <c r="E26" s="41">
        <f t="shared" si="3"/>
        <v>0</v>
      </c>
      <c r="F26" s="41">
        <f t="shared" si="3"/>
        <v>0</v>
      </c>
      <c r="G26" s="41">
        <f t="shared" si="3"/>
        <v>0</v>
      </c>
      <c r="H26" s="41">
        <f t="shared" si="3"/>
        <v>0</v>
      </c>
      <c r="I26" s="41">
        <f t="shared" si="3"/>
        <v>0</v>
      </c>
      <c r="J26" s="41">
        <f t="shared" si="3"/>
        <v>0</v>
      </c>
      <c r="K26" s="41">
        <f t="shared" si="3"/>
        <v>0</v>
      </c>
      <c r="L26" s="41">
        <f t="shared" si="3"/>
        <v>0</v>
      </c>
      <c r="M26" s="41">
        <f t="shared" si="3"/>
        <v>0</v>
      </c>
      <c r="N26" s="41">
        <f t="shared" si="3"/>
        <v>0</v>
      </c>
      <c r="O26" s="41">
        <f t="shared" si="3"/>
        <v>0</v>
      </c>
      <c r="P26" s="119">
        <f>SUM(D26:O26)</f>
        <v>0</v>
      </c>
    </row>
    <row r="27" spans="1:18" x14ac:dyDescent="0.3">
      <c r="A27" s="8"/>
      <c r="B27" s="101"/>
      <c r="C27" s="98">
        <f>SUM(C22/119*19)</f>
        <v>0</v>
      </c>
      <c r="D27" s="48"/>
      <c r="E27" s="48"/>
      <c r="F27" s="123">
        <f>SUM(F22/119*19)</f>
        <v>0</v>
      </c>
      <c r="G27" s="48"/>
      <c r="H27" s="48"/>
      <c r="I27" s="123">
        <f>SUM(I22/119*19)</f>
        <v>0</v>
      </c>
      <c r="J27" s="48"/>
      <c r="K27" s="48"/>
      <c r="L27" s="123">
        <f>SUM(L22/119*19)</f>
        <v>0</v>
      </c>
      <c r="M27" s="48"/>
      <c r="N27" s="48"/>
      <c r="O27" s="123">
        <f>SUM(O22/119*19)</f>
        <v>0</v>
      </c>
      <c r="P27" s="85">
        <f>SUM(D27:O27)</f>
        <v>0</v>
      </c>
    </row>
    <row r="28" spans="1:18" x14ac:dyDescent="0.3">
      <c r="A28" s="8"/>
      <c r="B28" s="101"/>
      <c r="C28" s="101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120"/>
    </row>
    <row r="29" spans="1:18" x14ac:dyDescent="0.3">
      <c r="A29" s="6" t="s">
        <v>54</v>
      </c>
      <c r="B29" s="103"/>
      <c r="C29" s="103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120"/>
    </row>
    <row r="30" spans="1:18" x14ac:dyDescent="0.3">
      <c r="A30" s="7" t="s">
        <v>17</v>
      </c>
      <c r="B30" s="76">
        <v>600</v>
      </c>
      <c r="C30" s="76">
        <f>SUM(B30*1.19)</f>
        <v>714</v>
      </c>
      <c r="D30" s="48">
        <f>SUM($C30/12)</f>
        <v>59.5</v>
      </c>
      <c r="E30" s="48">
        <f t="shared" ref="E30:O30" si="4">SUM($C30/12)</f>
        <v>59.5</v>
      </c>
      <c r="F30" s="48">
        <f t="shared" si="4"/>
        <v>59.5</v>
      </c>
      <c r="G30" s="48">
        <f t="shared" si="4"/>
        <v>59.5</v>
      </c>
      <c r="H30" s="48">
        <f t="shared" si="4"/>
        <v>59.5</v>
      </c>
      <c r="I30" s="48">
        <f t="shared" si="4"/>
        <v>59.5</v>
      </c>
      <c r="J30" s="48">
        <f t="shared" si="4"/>
        <v>59.5</v>
      </c>
      <c r="K30" s="48">
        <f t="shared" si="4"/>
        <v>59.5</v>
      </c>
      <c r="L30" s="48">
        <f t="shared" si="4"/>
        <v>59.5</v>
      </c>
      <c r="M30" s="48">
        <f t="shared" si="4"/>
        <v>59.5</v>
      </c>
      <c r="N30" s="48">
        <f t="shared" si="4"/>
        <v>59.5</v>
      </c>
      <c r="O30" s="48">
        <f t="shared" si="4"/>
        <v>59.5</v>
      </c>
      <c r="P30" s="120">
        <f>SUM(D30:O30)</f>
        <v>714</v>
      </c>
    </row>
    <row r="31" spans="1:18" x14ac:dyDescent="0.3">
      <c r="A31" s="7" t="s">
        <v>18</v>
      </c>
      <c r="B31" s="76">
        <v>1500</v>
      </c>
      <c r="C31" s="76">
        <f>B31</f>
        <v>1500</v>
      </c>
      <c r="D31" s="48">
        <v>0</v>
      </c>
      <c r="E31" s="48">
        <v>0</v>
      </c>
      <c r="F31" s="48">
        <v>0</v>
      </c>
      <c r="G31" s="48">
        <v>1500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120">
        <f t="shared" ref="P31:P44" si="5">SUM(D31:O31)</f>
        <v>1500</v>
      </c>
      <c r="R31" t="s">
        <v>58</v>
      </c>
    </row>
    <row r="32" spans="1:18" x14ac:dyDescent="0.3">
      <c r="A32" s="11" t="s">
        <v>29</v>
      </c>
      <c r="B32" s="76">
        <v>1200</v>
      </c>
      <c r="C32" s="76">
        <f t="shared" ref="C32:C41" si="6">SUM(B32*1.19)</f>
        <v>1428</v>
      </c>
      <c r="D32" s="48">
        <f>SUM($C32/12)</f>
        <v>119</v>
      </c>
      <c r="E32" s="48">
        <f t="shared" ref="E32:O33" si="7">SUM($C32/12)</f>
        <v>119</v>
      </c>
      <c r="F32" s="48">
        <f t="shared" si="7"/>
        <v>119</v>
      </c>
      <c r="G32" s="48">
        <f t="shared" si="7"/>
        <v>119</v>
      </c>
      <c r="H32" s="48">
        <f t="shared" si="7"/>
        <v>119</v>
      </c>
      <c r="I32" s="48">
        <f t="shared" si="7"/>
        <v>119</v>
      </c>
      <c r="J32" s="48">
        <f t="shared" si="7"/>
        <v>119</v>
      </c>
      <c r="K32" s="48">
        <f t="shared" si="7"/>
        <v>119</v>
      </c>
      <c r="L32" s="48">
        <f t="shared" si="7"/>
        <v>119</v>
      </c>
      <c r="M32" s="48">
        <f t="shared" si="7"/>
        <v>119</v>
      </c>
      <c r="N32" s="48">
        <f t="shared" si="7"/>
        <v>119</v>
      </c>
      <c r="O32" s="48">
        <f t="shared" si="7"/>
        <v>119</v>
      </c>
      <c r="P32" s="120">
        <f t="shared" si="5"/>
        <v>1428</v>
      </c>
    </row>
    <row r="33" spans="1:18" x14ac:dyDescent="0.3">
      <c r="A33" s="11" t="s">
        <v>80</v>
      </c>
      <c r="B33" s="76">
        <v>400</v>
      </c>
      <c r="C33" s="76">
        <f t="shared" si="6"/>
        <v>476</v>
      </c>
      <c r="D33" s="48">
        <f>SUM($C33/12)</f>
        <v>39.666666666666664</v>
      </c>
      <c r="E33" s="48">
        <f t="shared" si="7"/>
        <v>39.666666666666664</v>
      </c>
      <c r="F33" s="48">
        <f t="shared" si="7"/>
        <v>39.666666666666664</v>
      </c>
      <c r="G33" s="48">
        <f t="shared" si="7"/>
        <v>39.666666666666664</v>
      </c>
      <c r="H33" s="48">
        <f t="shared" si="7"/>
        <v>39.666666666666664</v>
      </c>
      <c r="I33" s="48">
        <f t="shared" si="7"/>
        <v>39.666666666666664</v>
      </c>
      <c r="J33" s="48">
        <f t="shared" si="7"/>
        <v>39.666666666666664</v>
      </c>
      <c r="K33" s="48">
        <f t="shared" si="7"/>
        <v>39.666666666666664</v>
      </c>
      <c r="L33" s="48">
        <f t="shared" si="7"/>
        <v>39.666666666666664</v>
      </c>
      <c r="M33" s="48">
        <f t="shared" si="7"/>
        <v>39.666666666666664</v>
      </c>
      <c r="N33" s="48">
        <f t="shared" si="7"/>
        <v>39.666666666666664</v>
      </c>
      <c r="O33" s="48">
        <f t="shared" si="7"/>
        <v>39.666666666666664</v>
      </c>
      <c r="P33" s="120">
        <f t="shared" si="5"/>
        <v>476.00000000000006</v>
      </c>
    </row>
    <row r="34" spans="1:18" s="25" customFormat="1" x14ac:dyDescent="0.3">
      <c r="A34" s="11" t="s">
        <v>81</v>
      </c>
      <c r="B34" s="76">
        <v>1000</v>
      </c>
      <c r="C34" s="76">
        <f t="shared" si="6"/>
        <v>1190</v>
      </c>
      <c r="D34" s="48">
        <v>0</v>
      </c>
      <c r="E34" s="48">
        <v>0</v>
      </c>
      <c r="F34" s="48">
        <v>0</v>
      </c>
      <c r="G34" s="48">
        <f>C34</f>
        <v>1190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120">
        <f t="shared" si="5"/>
        <v>1190</v>
      </c>
    </row>
    <row r="35" spans="1:18" x14ac:dyDescent="0.3">
      <c r="A35" s="7" t="s">
        <v>33</v>
      </c>
      <c r="B35" s="76">
        <v>2200</v>
      </c>
      <c r="C35" s="76">
        <f>B35</f>
        <v>2200</v>
      </c>
      <c r="D35" s="48">
        <v>0</v>
      </c>
      <c r="E35" s="48">
        <v>0</v>
      </c>
      <c r="F35" s="48">
        <v>0</v>
      </c>
      <c r="G35" s="48">
        <v>0</v>
      </c>
      <c r="H35" s="48">
        <v>100</v>
      </c>
      <c r="I35" s="48">
        <v>100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2000</v>
      </c>
      <c r="P35" s="120">
        <f t="shared" si="5"/>
        <v>2200</v>
      </c>
      <c r="R35" t="s">
        <v>59</v>
      </c>
    </row>
    <row r="36" spans="1:18" x14ac:dyDescent="0.3">
      <c r="A36" s="11" t="s">
        <v>52</v>
      </c>
      <c r="B36" s="76">
        <v>5000</v>
      </c>
      <c r="C36" s="76">
        <f t="shared" si="6"/>
        <v>5950</v>
      </c>
      <c r="D36" s="48">
        <f>SUM($C36/2)</f>
        <v>2975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f>SUM($C36/2)</f>
        <v>2975</v>
      </c>
      <c r="L36" s="48">
        <v>0</v>
      </c>
      <c r="M36" s="48">
        <v>0</v>
      </c>
      <c r="N36" s="48">
        <v>0</v>
      </c>
      <c r="O36" s="48">
        <v>0</v>
      </c>
      <c r="P36" s="120">
        <f t="shared" si="5"/>
        <v>5950</v>
      </c>
    </row>
    <row r="37" spans="1:18" x14ac:dyDescent="0.3">
      <c r="A37" s="11" t="s">
        <v>34</v>
      </c>
      <c r="B37" s="76">
        <v>2400</v>
      </c>
      <c r="C37" s="76">
        <f t="shared" si="6"/>
        <v>2856</v>
      </c>
      <c r="D37" s="48">
        <f>SUM($C37/12)</f>
        <v>238</v>
      </c>
      <c r="E37" s="48">
        <f t="shared" ref="E37:O38" si="8">SUM($C37/12)</f>
        <v>238</v>
      </c>
      <c r="F37" s="48">
        <f t="shared" si="8"/>
        <v>238</v>
      </c>
      <c r="G37" s="48">
        <f t="shared" si="8"/>
        <v>238</v>
      </c>
      <c r="H37" s="48">
        <f t="shared" si="8"/>
        <v>238</v>
      </c>
      <c r="I37" s="48">
        <f t="shared" si="8"/>
        <v>238</v>
      </c>
      <c r="J37" s="48">
        <f t="shared" si="8"/>
        <v>238</v>
      </c>
      <c r="K37" s="48">
        <f t="shared" si="8"/>
        <v>238</v>
      </c>
      <c r="L37" s="48">
        <f t="shared" si="8"/>
        <v>238</v>
      </c>
      <c r="M37" s="48">
        <f t="shared" si="8"/>
        <v>238</v>
      </c>
      <c r="N37" s="48">
        <f t="shared" si="8"/>
        <v>238</v>
      </c>
      <c r="O37" s="48">
        <f t="shared" si="8"/>
        <v>238</v>
      </c>
      <c r="P37" s="120">
        <f t="shared" si="5"/>
        <v>2856</v>
      </c>
    </row>
    <row r="38" spans="1:18" x14ac:dyDescent="0.3">
      <c r="A38" s="11" t="s">
        <v>21</v>
      </c>
      <c r="B38" s="76">
        <v>300</v>
      </c>
      <c r="C38" s="76">
        <f t="shared" si="6"/>
        <v>357</v>
      </c>
      <c r="D38" s="48">
        <f>SUM($C38/12)</f>
        <v>29.75</v>
      </c>
      <c r="E38" s="48">
        <f t="shared" si="8"/>
        <v>29.75</v>
      </c>
      <c r="F38" s="48">
        <f t="shared" si="8"/>
        <v>29.75</v>
      </c>
      <c r="G38" s="48">
        <f t="shared" si="8"/>
        <v>29.75</v>
      </c>
      <c r="H38" s="48">
        <f t="shared" si="8"/>
        <v>29.75</v>
      </c>
      <c r="I38" s="48">
        <f t="shared" si="8"/>
        <v>29.75</v>
      </c>
      <c r="J38" s="48">
        <f t="shared" si="8"/>
        <v>29.75</v>
      </c>
      <c r="K38" s="48">
        <f t="shared" si="8"/>
        <v>29.75</v>
      </c>
      <c r="L38" s="48">
        <f t="shared" si="8"/>
        <v>29.75</v>
      </c>
      <c r="M38" s="48">
        <f t="shared" si="8"/>
        <v>29.75</v>
      </c>
      <c r="N38" s="48">
        <f t="shared" si="8"/>
        <v>29.75</v>
      </c>
      <c r="O38" s="48">
        <f t="shared" si="8"/>
        <v>29.75</v>
      </c>
      <c r="P38" s="120">
        <f t="shared" si="5"/>
        <v>357</v>
      </c>
    </row>
    <row r="39" spans="1:18" x14ac:dyDescent="0.3">
      <c r="A39" s="11" t="s">
        <v>22</v>
      </c>
      <c r="B39" s="76"/>
      <c r="C39" s="76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20">
        <f t="shared" si="5"/>
        <v>0</v>
      </c>
    </row>
    <row r="40" spans="1:18" x14ac:dyDescent="0.3">
      <c r="A40" s="56" t="s">
        <v>41</v>
      </c>
      <c r="B40" s="76"/>
      <c r="C40" s="76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120">
        <f t="shared" si="5"/>
        <v>0</v>
      </c>
    </row>
    <row r="41" spans="1:18" ht="15" thickBot="1" x14ac:dyDescent="0.35">
      <c r="A41" s="54" t="s">
        <v>14</v>
      </c>
      <c r="B41" s="76">
        <v>600</v>
      </c>
      <c r="C41" s="76">
        <f t="shared" si="6"/>
        <v>714</v>
      </c>
      <c r="D41" s="48">
        <f>SUM($C41/12)</f>
        <v>59.5</v>
      </c>
      <c r="E41" s="48">
        <f t="shared" ref="E41:O41" si="9">SUM($C41/12)</f>
        <v>59.5</v>
      </c>
      <c r="F41" s="48">
        <f t="shared" si="9"/>
        <v>59.5</v>
      </c>
      <c r="G41" s="48">
        <f t="shared" si="9"/>
        <v>59.5</v>
      </c>
      <c r="H41" s="48">
        <f t="shared" si="9"/>
        <v>59.5</v>
      </c>
      <c r="I41" s="48">
        <f t="shared" si="9"/>
        <v>59.5</v>
      </c>
      <c r="J41" s="48">
        <f t="shared" si="9"/>
        <v>59.5</v>
      </c>
      <c r="K41" s="48">
        <f t="shared" si="9"/>
        <v>59.5</v>
      </c>
      <c r="L41" s="48">
        <f t="shared" si="9"/>
        <v>59.5</v>
      </c>
      <c r="M41" s="48">
        <f t="shared" si="9"/>
        <v>59.5</v>
      </c>
      <c r="N41" s="48">
        <f t="shared" si="9"/>
        <v>59.5</v>
      </c>
      <c r="O41" s="48">
        <f t="shared" si="9"/>
        <v>59.5</v>
      </c>
      <c r="P41" s="120">
        <f t="shared" si="5"/>
        <v>714</v>
      </c>
    </row>
    <row r="42" spans="1:18" s="111" customFormat="1" x14ac:dyDescent="0.3">
      <c r="A42" s="12" t="s">
        <v>38</v>
      </c>
      <c r="B42" s="109">
        <f>SUM(B30:B41)</f>
        <v>15200</v>
      </c>
      <c r="C42" s="109">
        <f>SUM(C30:C41)</f>
        <v>17385</v>
      </c>
      <c r="D42" s="110">
        <f t="shared" ref="D42:O42" si="10">SUM(D30:D41)</f>
        <v>3520.4166666666665</v>
      </c>
      <c r="E42" s="110">
        <f>SUM(E30:E41)</f>
        <v>545.41666666666663</v>
      </c>
      <c r="F42" s="110">
        <f>SUM(F30:F41)</f>
        <v>545.41666666666663</v>
      </c>
      <c r="G42" s="110">
        <f>SUM(G30:G41)</f>
        <v>3235.416666666667</v>
      </c>
      <c r="H42" s="110">
        <f>SUM(H30:H41)</f>
        <v>645.41666666666663</v>
      </c>
      <c r="I42" s="110">
        <f t="shared" si="10"/>
        <v>645.41666666666663</v>
      </c>
      <c r="J42" s="110">
        <f t="shared" si="10"/>
        <v>545.41666666666663</v>
      </c>
      <c r="K42" s="110">
        <f t="shared" si="10"/>
        <v>3520.4166666666665</v>
      </c>
      <c r="L42" s="110">
        <f t="shared" si="10"/>
        <v>545.41666666666663</v>
      </c>
      <c r="M42" s="110">
        <f t="shared" si="10"/>
        <v>545.41666666666663</v>
      </c>
      <c r="N42" s="110">
        <f t="shared" si="10"/>
        <v>545.41666666666663</v>
      </c>
      <c r="O42" s="110">
        <f t="shared" si="10"/>
        <v>2545.4166666666665</v>
      </c>
      <c r="P42" s="121">
        <f t="shared" si="5"/>
        <v>17384.999999999996</v>
      </c>
    </row>
    <row r="43" spans="1:18" x14ac:dyDescent="0.3">
      <c r="A43" s="82" t="s">
        <v>39</v>
      </c>
      <c r="B43" s="104"/>
      <c r="C43" s="105">
        <f>SUM((C30+C32+C33+C34+C36+C37+C38+C39+C40+C41)/119*19)</f>
        <v>2185</v>
      </c>
      <c r="D43" s="92">
        <f>SUM((D30+D32+D33+D34+D36+D37+D38+D39+D40+D41)/119*19)</f>
        <v>562.08333333333326</v>
      </c>
      <c r="E43" s="92">
        <f t="shared" ref="E43:O43" si="11">SUM((E30+E32+E33+E34+E36+E37+E38+E39+E40+E41)/119*19)</f>
        <v>87.083333333333329</v>
      </c>
      <c r="F43" s="92">
        <f t="shared" si="11"/>
        <v>87.083333333333329</v>
      </c>
      <c r="G43" s="92">
        <f t="shared" si="11"/>
        <v>277.08333333333337</v>
      </c>
      <c r="H43" s="92">
        <f t="shared" si="11"/>
        <v>87.083333333333329</v>
      </c>
      <c r="I43" s="92">
        <f t="shared" si="11"/>
        <v>87.083333333333329</v>
      </c>
      <c r="J43" s="92">
        <f t="shared" si="11"/>
        <v>87.083333333333329</v>
      </c>
      <c r="K43" s="92">
        <f t="shared" si="11"/>
        <v>562.08333333333326</v>
      </c>
      <c r="L43" s="92">
        <f t="shared" si="11"/>
        <v>87.083333333333329</v>
      </c>
      <c r="M43" s="92">
        <f t="shared" si="11"/>
        <v>87.083333333333329</v>
      </c>
      <c r="N43" s="92">
        <f t="shared" si="11"/>
        <v>87.083333333333329</v>
      </c>
      <c r="O43" s="92">
        <f t="shared" si="11"/>
        <v>87.083333333333329</v>
      </c>
      <c r="P43" s="83">
        <f t="shared" si="5"/>
        <v>2185</v>
      </c>
      <c r="R43" s="79" t="s">
        <v>63</v>
      </c>
    </row>
    <row r="44" spans="1:18" x14ac:dyDescent="0.3">
      <c r="A44" s="84" t="s">
        <v>40</v>
      </c>
      <c r="B44" s="97"/>
      <c r="C44" s="98">
        <f>SUM(C17-C27-C43)</f>
        <v>102695</v>
      </c>
      <c r="D44" s="85">
        <f>SUM(D17-D27-D43)</f>
        <v>11394.236666666666</v>
      </c>
      <c r="E44" s="85">
        <f t="shared" ref="E44:O44" si="12">SUM(E17-E27-E43)</f>
        <v>13022.916666666666</v>
      </c>
      <c r="F44" s="85">
        <f t="shared" si="12"/>
        <v>12183.876666666665</v>
      </c>
      <c r="G44" s="85">
        <f t="shared" si="12"/>
        <v>11679.236666666666</v>
      </c>
      <c r="H44" s="85">
        <f t="shared" si="12"/>
        <v>7778.916666666667</v>
      </c>
      <c r="I44" s="85">
        <f t="shared" si="12"/>
        <v>5995.9566666666678</v>
      </c>
      <c r="J44" s="85">
        <f t="shared" si="12"/>
        <v>5576.4366666666665</v>
      </c>
      <c r="K44" s="85">
        <f t="shared" si="12"/>
        <v>5101.4366666666665</v>
      </c>
      <c r="L44" s="85">
        <f t="shared" si="12"/>
        <v>5156.916666666667</v>
      </c>
      <c r="M44" s="85">
        <f t="shared" si="12"/>
        <v>6520.3566666666657</v>
      </c>
      <c r="N44" s="85">
        <f t="shared" si="12"/>
        <v>9142.3566666666648</v>
      </c>
      <c r="O44" s="85">
        <f t="shared" si="12"/>
        <v>9142.3566666666648</v>
      </c>
      <c r="P44" s="83">
        <f t="shared" si="5"/>
        <v>102694.99999999997</v>
      </c>
      <c r="R44" s="36" t="s">
        <v>61</v>
      </c>
    </row>
    <row r="45" spans="1:18" x14ac:dyDescent="0.3">
      <c r="A45" s="7"/>
      <c r="B45" s="95"/>
      <c r="C45" s="73">
        <f>SUM(B42-C42)</f>
        <v>-2185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20"/>
    </row>
    <row r="46" spans="1:18" ht="15" thickBot="1" x14ac:dyDescent="0.35">
      <c r="A46" s="86" t="s">
        <v>62</v>
      </c>
      <c r="B46" s="101"/>
      <c r="C46" s="75">
        <f>C44</f>
        <v>102695</v>
      </c>
      <c r="D46" s="87"/>
      <c r="E46" s="87">
        <f>SUM(M44:O44)</f>
        <v>24805.069999999992</v>
      </c>
      <c r="F46" s="87"/>
      <c r="G46" s="87"/>
      <c r="H46" s="87">
        <f>SUM(D44:F44)</f>
        <v>36601.03</v>
      </c>
      <c r="I46" s="87"/>
      <c r="J46" s="87"/>
      <c r="K46" s="87">
        <f>SUM(G44:I44)</f>
        <v>25454.11</v>
      </c>
      <c r="L46" s="87"/>
      <c r="M46" s="87"/>
      <c r="N46" s="87">
        <f>SUM(J44:L44)</f>
        <v>15834.79</v>
      </c>
      <c r="O46" s="87"/>
      <c r="P46" s="88">
        <f>SUM(D46:O46)</f>
        <v>102695</v>
      </c>
      <c r="R46" t="s">
        <v>60</v>
      </c>
    </row>
    <row r="47" spans="1:18" ht="15" thickBot="1" x14ac:dyDescent="0.35">
      <c r="A47" s="62" t="s">
        <v>83</v>
      </c>
      <c r="B47" s="106"/>
      <c r="C47" s="106"/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4">
        <v>0</v>
      </c>
      <c r="P47" s="88">
        <f>SUM(D47:O47)</f>
        <v>0</v>
      </c>
    </row>
    <row r="48" spans="1:18" x14ac:dyDescent="0.3">
      <c r="A48" s="59"/>
      <c r="B48" s="102"/>
      <c r="C48" s="102"/>
      <c r="D48" s="19"/>
      <c r="E48" s="19"/>
      <c r="F48" s="19"/>
      <c r="G48" s="61"/>
      <c r="H48" s="61"/>
      <c r="I48" s="61"/>
      <c r="J48" s="61"/>
      <c r="K48" s="61"/>
      <c r="L48" s="60"/>
      <c r="M48" s="60"/>
      <c r="N48" s="60"/>
      <c r="O48" s="60"/>
      <c r="P48" s="122"/>
    </row>
    <row r="49" spans="1:18" ht="15" thickBot="1" x14ac:dyDescent="0.35">
      <c r="A49" s="8" t="s">
        <v>25</v>
      </c>
      <c r="B49" s="75">
        <f>SUM(B26+B42+B46+B47)</f>
        <v>15200</v>
      </c>
      <c r="C49" s="75">
        <f>SUM(C26+C42+C46+C47)</f>
        <v>120080</v>
      </c>
      <c r="D49" s="19">
        <f>D26+D42+D46+D47</f>
        <v>3520.4166666666665</v>
      </c>
      <c r="E49" s="19">
        <f t="shared" ref="E49:O49" si="13">E26+E42+E46+E47</f>
        <v>25350.48666666666</v>
      </c>
      <c r="F49" s="19">
        <f t="shared" si="13"/>
        <v>545.41666666666663</v>
      </c>
      <c r="G49" s="19">
        <f t="shared" si="13"/>
        <v>3235.416666666667</v>
      </c>
      <c r="H49" s="19">
        <f t="shared" si="13"/>
        <v>37246.446666666663</v>
      </c>
      <c r="I49" s="19">
        <f t="shared" si="13"/>
        <v>645.41666666666663</v>
      </c>
      <c r="J49" s="19">
        <f t="shared" si="13"/>
        <v>545.41666666666663</v>
      </c>
      <c r="K49" s="19">
        <f t="shared" si="13"/>
        <v>28974.526666666668</v>
      </c>
      <c r="L49" s="19">
        <f t="shared" si="13"/>
        <v>545.41666666666663</v>
      </c>
      <c r="M49" s="19">
        <f t="shared" si="13"/>
        <v>545.41666666666663</v>
      </c>
      <c r="N49" s="19">
        <f t="shared" si="13"/>
        <v>16380.206666666667</v>
      </c>
      <c r="O49" s="19">
        <f t="shared" si="13"/>
        <v>2545.4166666666665</v>
      </c>
      <c r="P49" s="130">
        <f>P26+P42+P46+P47</f>
        <v>120080</v>
      </c>
    </row>
    <row r="50" spans="1:18" x14ac:dyDescent="0.3">
      <c r="A50" s="10"/>
      <c r="B50" s="101"/>
      <c r="C50" s="101"/>
      <c r="D50" s="19"/>
      <c r="E50" s="19"/>
      <c r="F50" s="19"/>
      <c r="G50" s="18"/>
      <c r="H50" s="18"/>
      <c r="I50" s="18"/>
      <c r="J50" s="18"/>
      <c r="K50" s="18"/>
      <c r="L50" s="26"/>
      <c r="M50" s="26"/>
      <c r="N50" s="26"/>
      <c r="O50" s="26"/>
      <c r="P50" s="117"/>
    </row>
    <row r="51" spans="1:18" x14ac:dyDescent="0.3">
      <c r="A51" s="12" t="s">
        <v>82</v>
      </c>
      <c r="B51" s="75">
        <f>SUM(B16-B49)</f>
        <v>536800</v>
      </c>
      <c r="C51" s="75">
        <f>SUM(C16-C49)</f>
        <v>536800</v>
      </c>
      <c r="D51" s="19">
        <f t="shared" ref="D51:O51" si="14">SUM(D16-D49)</f>
        <v>71363.903333333321</v>
      </c>
      <c r="E51" s="19">
        <f t="shared" si="14"/>
        <v>56759.513333333336</v>
      </c>
      <c r="F51" s="19">
        <f t="shared" si="14"/>
        <v>76309.54333333332</v>
      </c>
      <c r="G51" s="67">
        <f t="shared" si="14"/>
        <v>71648.903333333321</v>
      </c>
      <c r="H51" s="67">
        <f t="shared" si="14"/>
        <v>12019.553333333337</v>
      </c>
      <c r="I51" s="67">
        <f t="shared" si="14"/>
        <v>37453.623333333337</v>
      </c>
      <c r="J51" s="67">
        <f t="shared" si="14"/>
        <v>34926.103333333333</v>
      </c>
      <c r="K51" s="67">
        <f t="shared" si="14"/>
        <v>6496.9933333333283</v>
      </c>
      <c r="L51" s="42">
        <f t="shared" si="14"/>
        <v>32298.583333333332</v>
      </c>
      <c r="M51" s="42">
        <f t="shared" si="14"/>
        <v>40838.023333333331</v>
      </c>
      <c r="N51" s="42">
        <f t="shared" si="14"/>
        <v>41425.23333333333</v>
      </c>
      <c r="O51" s="42">
        <f t="shared" si="14"/>
        <v>55260.023333333331</v>
      </c>
      <c r="P51" s="119">
        <f>SUM(D51:O51)</f>
        <v>536800</v>
      </c>
      <c r="R51" s="89" t="s">
        <v>66</v>
      </c>
    </row>
    <row r="52" spans="1:18" x14ac:dyDescent="0.3">
      <c r="A52" s="12" t="s">
        <v>43</v>
      </c>
      <c r="B52" s="101"/>
      <c r="C52" s="101"/>
      <c r="D52" s="19"/>
      <c r="E52" s="19"/>
      <c r="F52" s="19"/>
      <c r="G52" s="70"/>
      <c r="H52" s="70"/>
      <c r="I52" s="69"/>
      <c r="J52" s="68"/>
      <c r="K52" s="70"/>
      <c r="L52" s="28"/>
      <c r="M52" s="43"/>
      <c r="N52" s="27"/>
      <c r="O52" s="28"/>
      <c r="P52" s="19"/>
    </row>
    <row r="53" spans="1:18" x14ac:dyDescent="0.3">
      <c r="A53" s="135" t="s">
        <v>23</v>
      </c>
      <c r="B53" s="107">
        <f>B51</f>
        <v>536800</v>
      </c>
      <c r="C53" s="107">
        <f>C51</f>
        <v>536800</v>
      </c>
      <c r="D53" s="137">
        <f>D52+D51</f>
        <v>71363.903333333321</v>
      </c>
      <c r="E53" s="137">
        <f t="shared" ref="E53:O53" si="15">D53+E51</f>
        <v>128123.41666666666</v>
      </c>
      <c r="F53" s="137">
        <f t="shared" si="15"/>
        <v>204432.95999999996</v>
      </c>
      <c r="G53" s="137">
        <f t="shared" si="15"/>
        <v>276081.86333333328</v>
      </c>
      <c r="H53" s="137">
        <f>G53+H51</f>
        <v>288101.41666666663</v>
      </c>
      <c r="I53" s="137">
        <f t="shared" si="15"/>
        <v>325555.03999999998</v>
      </c>
      <c r="J53" s="137">
        <f t="shared" si="15"/>
        <v>360481.14333333331</v>
      </c>
      <c r="K53" s="137">
        <f t="shared" si="15"/>
        <v>366978.13666666666</v>
      </c>
      <c r="L53" s="139">
        <f>K53+L51</f>
        <v>399276.72</v>
      </c>
      <c r="M53" s="139">
        <f>L53+M51</f>
        <v>440114.74333333329</v>
      </c>
      <c r="N53" s="139">
        <f t="shared" si="15"/>
        <v>481539.97666666663</v>
      </c>
      <c r="O53" s="141">
        <f t="shared" si="15"/>
        <v>536800</v>
      </c>
      <c r="P53" s="20"/>
    </row>
    <row r="54" spans="1:18" x14ac:dyDescent="0.3">
      <c r="A54" s="136"/>
      <c r="B54" s="108"/>
      <c r="C54" s="108"/>
      <c r="D54" s="138"/>
      <c r="E54" s="138"/>
      <c r="F54" s="138"/>
      <c r="G54" s="138"/>
      <c r="H54" s="138"/>
      <c r="I54" s="138"/>
      <c r="J54" s="138"/>
      <c r="K54" s="138"/>
      <c r="L54" s="140"/>
      <c r="M54" s="140"/>
      <c r="N54" s="140"/>
      <c r="O54" s="142"/>
      <c r="P54" s="21"/>
    </row>
    <row r="55" spans="1:18" x14ac:dyDescent="0.3">
      <c r="A55" s="16" t="s">
        <v>30</v>
      </c>
      <c r="B55" s="16"/>
      <c r="C55" s="16"/>
      <c r="D55" s="113"/>
      <c r="E55" s="113"/>
      <c r="F55" s="113"/>
      <c r="G55" s="114"/>
      <c r="H55" s="114"/>
      <c r="I55" s="114"/>
      <c r="J55" s="114"/>
      <c r="K55" s="114"/>
      <c r="L55" s="114"/>
      <c r="M55" s="114"/>
      <c r="N55" s="114"/>
      <c r="O55" s="114"/>
      <c r="P55" s="44"/>
      <c r="R55" t="s">
        <v>67</v>
      </c>
    </row>
    <row r="56" spans="1:18" x14ac:dyDescent="0.3">
      <c r="A56" s="77"/>
      <c r="B56" s="91"/>
      <c r="C56" s="91"/>
    </row>
    <row r="57" spans="1:18" x14ac:dyDescent="0.3">
      <c r="A57" s="8" t="s">
        <v>57</v>
      </c>
      <c r="B57" s="8"/>
      <c r="C57" s="8"/>
      <c r="D57" s="78">
        <f>D53-D55</f>
        <v>71363.903333333321</v>
      </c>
      <c r="E57" s="78">
        <f t="shared" ref="E57:O57" si="16">E53-E55</f>
        <v>128123.41666666666</v>
      </c>
      <c r="F57" s="78">
        <f t="shared" si="16"/>
        <v>204432.95999999996</v>
      </c>
      <c r="G57" s="78">
        <f t="shared" si="16"/>
        <v>276081.86333333328</v>
      </c>
      <c r="H57" s="78">
        <f t="shared" si="16"/>
        <v>288101.41666666663</v>
      </c>
      <c r="I57" s="78">
        <f t="shared" si="16"/>
        <v>325555.03999999998</v>
      </c>
      <c r="J57" s="78">
        <f t="shared" si="16"/>
        <v>360481.14333333331</v>
      </c>
      <c r="K57" s="78">
        <f t="shared" si="16"/>
        <v>366978.13666666666</v>
      </c>
      <c r="L57" s="78">
        <f t="shared" si="16"/>
        <v>399276.72</v>
      </c>
      <c r="M57" s="78">
        <f t="shared" si="16"/>
        <v>440114.74333333329</v>
      </c>
      <c r="N57" s="78">
        <f t="shared" si="16"/>
        <v>481539.97666666663</v>
      </c>
      <c r="O57" s="78">
        <f t="shared" si="16"/>
        <v>536800</v>
      </c>
      <c r="P57" t="s">
        <v>87</v>
      </c>
      <c r="R57" s="79"/>
    </row>
    <row r="58" spans="1:18" x14ac:dyDescent="0.3">
      <c r="C58" s="129">
        <f>SUM(B53-C53)</f>
        <v>0</v>
      </c>
    </row>
    <row r="60" spans="1:18" x14ac:dyDescent="0.3">
      <c r="A60" s="90" t="s">
        <v>64</v>
      </c>
      <c r="B60" s="90"/>
      <c r="C60" s="90"/>
      <c r="D60" s="90"/>
      <c r="E60" s="90"/>
      <c r="F60" s="90"/>
      <c r="G60" s="90"/>
      <c r="H60" s="90"/>
      <c r="I60" s="90"/>
    </row>
    <row r="61" spans="1:18" x14ac:dyDescent="0.3">
      <c r="A61" s="90" t="s">
        <v>69</v>
      </c>
      <c r="B61" s="90"/>
      <c r="C61" s="90"/>
      <c r="D61" s="90"/>
      <c r="E61" s="90"/>
      <c r="F61" s="90"/>
      <c r="G61" s="90"/>
      <c r="H61" s="90"/>
      <c r="I61" s="90"/>
    </row>
    <row r="62" spans="1:18" x14ac:dyDescent="0.3">
      <c r="A62" s="90" t="s">
        <v>70</v>
      </c>
      <c r="B62" s="90"/>
      <c r="C62" s="90"/>
      <c r="D62" s="90" t="s">
        <v>71</v>
      </c>
      <c r="E62" s="90"/>
      <c r="F62" s="90"/>
      <c r="G62" s="90"/>
      <c r="H62" s="90"/>
      <c r="I62" s="90"/>
    </row>
    <row r="63" spans="1:18" x14ac:dyDescent="0.3">
      <c r="A63" s="90" t="s">
        <v>72</v>
      </c>
      <c r="B63" s="90"/>
      <c r="C63" s="90"/>
      <c r="D63" s="90" t="s">
        <v>73</v>
      </c>
      <c r="E63" s="90"/>
      <c r="F63" s="90"/>
      <c r="G63" s="90"/>
      <c r="H63" s="90"/>
      <c r="I63" s="90"/>
    </row>
    <row r="64" spans="1:18" x14ac:dyDescent="0.3">
      <c r="A64" s="90" t="s">
        <v>74</v>
      </c>
      <c r="B64" s="90"/>
      <c r="C64" s="90"/>
      <c r="D64" s="90" t="s">
        <v>75</v>
      </c>
      <c r="E64" s="90"/>
      <c r="F64" s="90"/>
      <c r="G64" s="90"/>
      <c r="H64" s="90"/>
      <c r="I64" s="90"/>
    </row>
    <row r="65" spans="1:9" x14ac:dyDescent="0.3">
      <c r="A65" s="90" t="s">
        <v>76</v>
      </c>
      <c r="B65" s="90"/>
      <c r="C65" s="90"/>
      <c r="D65" s="90" t="s">
        <v>77</v>
      </c>
      <c r="E65" s="90"/>
      <c r="F65" s="90"/>
      <c r="G65" s="90"/>
      <c r="H65" s="90"/>
      <c r="I65" s="90"/>
    </row>
  </sheetData>
  <mergeCells count="15">
    <mergeCell ref="A2:D3"/>
    <mergeCell ref="D6:O6"/>
    <mergeCell ref="A53:A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</mergeCells>
  <conditionalFormatting sqref="G50:P52 D53:P55">
    <cfRule type="cellIs" dxfId="2" priority="4" operator="lessThan">
      <formula>0</formula>
    </cfRule>
  </conditionalFormatting>
  <conditionalFormatting sqref="D48:F48 D50:F52 D49:O49">
    <cfRule type="cellIs" dxfId="1" priority="3" operator="lessThan">
      <formula>0</formula>
    </cfRule>
  </conditionalFormatting>
  <conditionalFormatting sqref="D57:O57"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"/>
  <sheetViews>
    <sheetView workbookViewId="0">
      <selection activeCell="C10" sqref="C10"/>
    </sheetView>
  </sheetViews>
  <sheetFormatPr baseColWidth="10" defaultRowHeight="14.4" x14ac:dyDescent="0.3"/>
  <cols>
    <col min="1" max="1" width="12.88671875" customWidth="1"/>
    <col min="2" max="2" width="26.109375" customWidth="1"/>
    <col min="3" max="3" width="22.21875" customWidth="1"/>
    <col min="13" max="13" width="12.6640625" customWidth="1"/>
  </cols>
  <sheetData>
    <row r="1" spans="1:15" x14ac:dyDescent="0.3">
      <c r="A1" s="143" t="s">
        <v>31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  <c r="N1" s="13"/>
      <c r="O1" s="13"/>
    </row>
    <row r="2" spans="1:15" x14ac:dyDescent="0.3">
      <c r="A2" s="31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32" t="s">
        <v>32</v>
      </c>
      <c r="N2" s="13"/>
      <c r="O2" s="13"/>
    </row>
    <row r="3" spans="1:15" x14ac:dyDescent="0.3">
      <c r="A3" s="33">
        <v>12.5</v>
      </c>
      <c r="B3" s="34">
        <v>11.7</v>
      </c>
      <c r="C3" s="34">
        <v>11.4</v>
      </c>
      <c r="D3" s="34">
        <v>7.5</v>
      </c>
      <c r="E3" s="34">
        <v>5.8</v>
      </c>
      <c r="F3" s="34">
        <v>5.4</v>
      </c>
      <c r="G3" s="34">
        <v>5.4</v>
      </c>
      <c r="H3" s="34">
        <v>5</v>
      </c>
      <c r="I3" s="34">
        <v>6.3</v>
      </c>
      <c r="J3" s="34">
        <v>8.8000000000000007</v>
      </c>
      <c r="K3" s="34">
        <v>8.8000000000000007</v>
      </c>
      <c r="L3" s="34">
        <v>11.4</v>
      </c>
      <c r="M3" s="35">
        <f>SUM(A3:L3)</f>
        <v>99.999999999999986</v>
      </c>
      <c r="N3" s="13" t="s">
        <v>79</v>
      </c>
      <c r="O3" s="13"/>
    </row>
    <row r="4" spans="1:15" x14ac:dyDescent="0.3">
      <c r="A4" s="30">
        <f>A3*$C$8/100</f>
        <v>750000</v>
      </c>
      <c r="B4" s="30">
        <f>B3*$C$8/100</f>
        <v>702000</v>
      </c>
      <c r="C4" s="30">
        <f t="shared" ref="C4:L4" si="0">C3*$C$8/100</f>
        <v>684000</v>
      </c>
      <c r="D4" s="30">
        <f t="shared" si="0"/>
        <v>450000</v>
      </c>
      <c r="E4" s="30">
        <f t="shared" si="0"/>
        <v>348000</v>
      </c>
      <c r="F4" s="30">
        <f t="shared" si="0"/>
        <v>324000.00000000006</v>
      </c>
      <c r="G4" s="30">
        <f t="shared" si="0"/>
        <v>324000.00000000006</v>
      </c>
      <c r="H4" s="30">
        <f t="shared" si="0"/>
        <v>300000</v>
      </c>
      <c r="I4" s="30">
        <f t="shared" si="0"/>
        <v>378000</v>
      </c>
      <c r="J4" s="30">
        <f t="shared" si="0"/>
        <v>528000.00000000012</v>
      </c>
      <c r="K4" s="30">
        <f t="shared" si="0"/>
        <v>528000.00000000012</v>
      </c>
      <c r="L4" s="30">
        <f t="shared" si="0"/>
        <v>684000</v>
      </c>
      <c r="M4" s="80">
        <v>6000000</v>
      </c>
      <c r="N4" s="36" t="s">
        <v>48</v>
      </c>
      <c r="O4" s="13"/>
    </row>
    <row r="5" spans="1:15" x14ac:dyDescent="0.3">
      <c r="A5" s="57">
        <f>ROUND(A4*$C$9,2)</f>
        <v>69000</v>
      </c>
      <c r="B5" s="57">
        <f t="shared" ref="B5:L5" si="1">ROUND(B4*$C$9,2)</f>
        <v>64584</v>
      </c>
      <c r="C5" s="57">
        <f t="shared" si="1"/>
        <v>62928</v>
      </c>
      <c r="D5" s="57">
        <f t="shared" si="1"/>
        <v>41400</v>
      </c>
      <c r="E5" s="57">
        <f t="shared" si="1"/>
        <v>32016</v>
      </c>
      <c r="F5" s="57">
        <f t="shared" si="1"/>
        <v>29808</v>
      </c>
      <c r="G5" s="57">
        <f t="shared" si="1"/>
        <v>29808</v>
      </c>
      <c r="H5" s="57">
        <f t="shared" si="1"/>
        <v>27600</v>
      </c>
      <c r="I5" s="57">
        <f t="shared" si="1"/>
        <v>34776</v>
      </c>
      <c r="J5" s="57">
        <f t="shared" si="1"/>
        <v>48576</v>
      </c>
      <c r="K5" s="57">
        <f t="shared" si="1"/>
        <v>48576</v>
      </c>
      <c r="L5" s="57">
        <f t="shared" si="1"/>
        <v>62928</v>
      </c>
      <c r="M5" s="80">
        <f>SUM(A5:L5)</f>
        <v>552000</v>
      </c>
      <c r="N5" s="58" t="s">
        <v>49</v>
      </c>
      <c r="O5" s="81"/>
    </row>
    <row r="6" spans="1:15" x14ac:dyDescent="0.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29" t="s">
        <v>27</v>
      </c>
      <c r="N6" s="36"/>
      <c r="O6" s="13"/>
    </row>
    <row r="7" spans="1:15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29"/>
      <c r="N7" s="36"/>
      <c r="O7" s="13"/>
    </row>
    <row r="8" spans="1:15" ht="23.4" x14ac:dyDescent="0.45">
      <c r="A8" s="124" t="s">
        <v>46</v>
      </c>
      <c r="C8" s="125">
        <v>6000000</v>
      </c>
      <c r="D8" s="124" t="s">
        <v>47</v>
      </c>
      <c r="E8" s="124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23.4" x14ac:dyDescent="0.45">
      <c r="A9" s="124" t="s">
        <v>36</v>
      </c>
      <c r="C9" s="126">
        <v>9.1999999999999998E-2</v>
      </c>
      <c r="D9" s="124" t="s">
        <v>84</v>
      </c>
      <c r="E9" s="124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23.4" x14ac:dyDescent="0.45">
      <c r="A10" s="124" t="s">
        <v>85</v>
      </c>
      <c r="B10" s="13"/>
      <c r="C10" s="127">
        <f>SUM(C8*C9)</f>
        <v>552000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3">
      <c r="A11" s="13"/>
      <c r="B11" s="22"/>
      <c r="C11" s="5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23.4" x14ac:dyDescent="0.45">
      <c r="A12" s="128" t="s">
        <v>86</v>
      </c>
    </row>
  </sheetData>
  <mergeCells count="1">
    <mergeCell ref="A1:M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2018</vt:lpstr>
      <vt:lpstr>Vergütung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 Breitwieser</dc:creator>
  <cp:lastModifiedBy>WD</cp:lastModifiedBy>
  <cp:lastPrinted>2016-09-01T14:02:44Z</cp:lastPrinted>
  <dcterms:created xsi:type="dcterms:W3CDTF">2013-02-07T09:52:51Z</dcterms:created>
  <dcterms:modified xsi:type="dcterms:W3CDTF">2021-09-28T14:30:21Z</dcterms:modified>
</cp:coreProperties>
</file>